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firstSheet="1" activeTab="5"/>
  </bookViews>
  <sheets>
    <sheet name="Стационарные торговые объекты" sheetId="1" r:id="rId1"/>
    <sheet name="Нестационарные торговые объекты" sheetId="2" r:id="rId2"/>
    <sheet name="Рынки" sheetId="3" r:id="rId3"/>
    <sheet name="Ярмарки" sheetId="4" r:id="rId4"/>
    <sheet name="Печатная продукция" sheetId="5" r:id="rId5"/>
    <sheet name="РАЗВИТИЕ " sheetId="6" r:id="rId6"/>
    <sheet name="Лист2" sheetId="7" state="hidden" r:id="rId7"/>
    <sheet name="Лист3" sheetId="8" state="hidden" r:id="rId8"/>
  </sheets>
  <definedNames>
    <definedName name="_xlnm.Print_Titles" localSheetId="1">'Нестационарные торговые объекты'!$B:$M,'Нестационарные торговые объекты'!$5:$9</definedName>
    <definedName name="_xlnm.Print_Titles" localSheetId="2">'Рынки'!$A:$J,'Рынки'!$5:$8</definedName>
    <definedName name="_xlnm.Print_Titles" localSheetId="0">'Стационарные торговые объекты'!$B:$X,'Стационарные торговые объекты'!$5:$9</definedName>
    <definedName name="_xlnm.Print_Titles" localSheetId="3">'Ярмарки'!$A:$L,'Ярмарки'!$5:$8</definedName>
    <definedName name="_xlnm.Print_Area" localSheetId="7">'Лист3'!$A$1:$V$29</definedName>
    <definedName name="_xlnm.Print_Area" localSheetId="1">'Нестационарные торговые объекты'!$A$1:$Y$65</definedName>
    <definedName name="_xlnm.Print_Area" localSheetId="2">'Рынки'!$A$1:$V$11</definedName>
    <definedName name="_xlnm.Print_Area" localSheetId="3">'Ярмарки'!$A$1:$W$13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N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словом "Да", если торговый объект является фирменным магазином региональных товаропроизводителей, если не является оставьте графу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пример:"продтовары включая крепкий алкоголь", "продтовары без крепкого алкоголя", специализированный мясо-молочный", "специализированный кондитерские изделия", "рыботовары", "алкоголь", "пиво и сопутствующие товары", "продукция мясо-молочной группы Белорусского производства", "бакалея" и т.д.
</t>
        </r>
      </text>
    </comment>
    <comment ref="M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организовано через прилавок , если нет  оставьте графу пустой</t>
        </r>
      </text>
    </comment>
    <comment ref="P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Труфанова Екатерина: </t>
        </r>
        <r>
          <rPr>
            <sz val="8"/>
            <rFont val="Tahoma"/>
            <family val="2"/>
          </rPr>
          <t xml:space="preserve">
В случае продажи алкоголя необходимо указать вид алкогольной продукции, при наличии лицензии и продаже крепкого алкоголя и пива в ячейке указать букву  "Л", при отсутствии лицензии и продаже только пива, поставить букву "П". В случае если торговый объект не продает алкоголь, </t>
        </r>
        <r>
          <rPr>
            <b/>
            <sz val="8"/>
            <rFont val="Tahoma"/>
            <family val="2"/>
          </rPr>
          <t>оставить ячейку пустой</t>
        </r>
      </text>
    </comment>
    <comment ref="Z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AA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AB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A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система ЕГАИС установлена, поставьте слово "Да" в ячейку, в обратном случае оставьте ячейку пустой</t>
        </r>
      </text>
    </comment>
    <comment ref="AC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единая государственная автоматизированная информационная система
ФЗ № 271 "О ГОСУДАРСТВЕННОМ РЕГУЛИРОВАНИИ ПРОИЗВОДСТВА
И ОБОРОТА ЭТИЛОВОГО СПИРТА, АЛКОГОЛЬНОЙ И СПИРТОСОДЕРЖАЩЕЙ
ПРОДУКЦИИ И ОБ ОГРАНИЧЕНИИ ПОТРЕБЛЕНИЯ (РАСПИТИЯ)
АЛКОГОЛЬНОЙ ПРОДУКЦИИ"
В случае, если торговый объект обязан установить ЕГАИС поставить в ячейку "ДА", в обратном случае </t>
        </r>
        <r>
          <rPr>
            <b/>
            <sz val="8"/>
            <rFont val="Tahoma"/>
            <family val="2"/>
          </rPr>
          <t>оставить ячейку пустой</t>
        </r>
        <r>
          <rPr>
            <sz val="8"/>
            <rFont val="Tahoma"/>
            <family val="2"/>
          </rPr>
          <t xml:space="preserve">
</t>
        </r>
      </text>
    </comment>
    <comment ref="J12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J13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B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алфавитном порядке добовлять наименование муниципальных образований (по списку)</t>
        </r>
      </text>
    </comment>
    <comment ref="AE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2"/>
          </rPr>
          <t xml:space="preserve">
</t>
        </r>
      </text>
    </comment>
    <comment ref="AF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2"/>
          </rPr>
          <t xml:space="preserve">
</t>
        </r>
      </text>
    </comment>
    <comment ref="AG8" authorId="0">
      <text>
        <r>
          <rPr>
            <sz val="10"/>
            <rFont val="Times New Roman"/>
            <family val="1"/>
          </rPr>
          <t>АВТОР:При наличии пандуса укажите - "да". При отсутствии  вариантов оставьте графу незаполненной.</t>
        </r>
        <r>
          <rPr>
            <sz val="9"/>
            <rFont val="Tahoma"/>
            <family val="2"/>
          </rPr>
          <t xml:space="preserve">
</t>
        </r>
      </text>
    </comment>
    <comment ref="AH8" authorId="0">
      <text>
        <r>
          <rPr>
            <sz val="10"/>
            <rFont val="Times New Roman"/>
            <family val="1"/>
          </rPr>
          <t>АВТОР:При наличии кнопки вызова, укажите - "да". При отсутствии  вариантов оставьте графу незаполненной.</t>
        </r>
      </text>
    </comment>
    <comment ref="AI8" authorId="0">
      <text>
        <r>
          <rPr>
            <b/>
            <sz val="9"/>
            <rFont val="Tahoma"/>
            <family val="2"/>
          </rPr>
          <t>АВТОР:При наличии парковочных мест, предназнапченых для инвалидов, имеющих соответствующую разметку, укажите - "да". При отсутствии   оставьте графу незаполненной.</t>
        </r>
        <r>
          <rPr>
            <sz val="9"/>
            <rFont val="Tahoma"/>
            <family val="2"/>
          </rPr>
          <t xml:space="preserve">
</t>
        </r>
      </text>
    </comment>
    <comment ref="AJ8" authorId="0">
      <text>
        <r>
          <rPr>
            <b/>
            <sz val="9"/>
            <rFont val="Tahoma"/>
            <family val="2"/>
          </rPr>
          <t>АВТОР:При наличии  - "да". При отсутствии   оставьте графу незаполненной.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 xml:space="preserve">Автор:
</t>
        </r>
        <r>
          <rPr>
            <sz val="8"/>
            <rFont val="Tahoma"/>
            <family val="2"/>
          </rPr>
          <t>Организационно-правовая форма, юридический адрес, Ф.И. О. руководителя, номер телефона, при наличии адрес эл. почты)</t>
        </r>
      </text>
    </comment>
    <comment ref="I5" authorId="0">
      <text>
        <r>
          <rPr>
            <b/>
            <sz val="8"/>
            <rFont val="Tahoma"/>
            <family val="2"/>
          </rPr>
          <t>Автор: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любой буквой, например словом "Да" или "V", если является, если не является оставьте графу пустой</t>
        </r>
      </text>
    </comment>
    <comment ref="F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Организационно-правовая форма, юридический адрес, Ф.И. О. руководителя, номер телефона, при наличии адрес эл. почты)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>В случае наличия свидетельства о государственной регистрации права поставить слова "Да" в ячейку, в случае отсутствия оставить ячейку пустой</t>
        </r>
      </text>
    </comment>
    <comment ref="P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 поставить слова "Да" в ячейку, в случае отсутствия оставить ячейку пустой</t>
        </r>
      </text>
    </comment>
    <comment ref="Q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поставить слова "Да" в ячейку, в случае отсутствия оставить ячейку пустой</t>
        </r>
      </text>
    </comment>
    <comment ref="R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S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B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алфавитном порядке добовлять наименование муниципальных образований (по списку)</t>
        </r>
      </text>
    </comment>
    <comment ref="T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2"/>
          </rPr>
          <t xml:space="preserve">
</t>
        </r>
      </text>
    </comment>
    <comment ref="U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U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V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P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Q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K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точка продажи печатной продукции(в том числе журнально-газетной) расположена на территории торговых объектов (за исключением почтовых отделений)</t>
        </r>
      </text>
    </comment>
    <comment ref="L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R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2"/>
          </rPr>
          <t xml:space="preserve">
</t>
        </r>
      </text>
    </comment>
    <comment ref="S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<sst xmlns="http://schemas.openxmlformats.org/spreadsheetml/2006/main" count="2383" uniqueCount="931">
  <si>
    <t xml:space="preserve">Приложение 1 </t>
  </si>
  <si>
    <t>№ п/п</t>
  </si>
  <si>
    <t>Режим работы</t>
  </si>
  <si>
    <t>Форма обслуживания</t>
  </si>
  <si>
    <t>Площадь</t>
  </si>
  <si>
    <t>Общая, кв.м</t>
  </si>
  <si>
    <t>Торговая, кв.м</t>
  </si>
  <si>
    <t>всего</t>
  </si>
  <si>
    <t>в том числе</t>
  </si>
  <si>
    <t>продавцов</t>
  </si>
  <si>
    <t>через прилавок</t>
  </si>
  <si>
    <t>самообслуживание</t>
  </si>
  <si>
    <t>I</t>
  </si>
  <si>
    <t>Продовольственные магазины</t>
  </si>
  <si>
    <t>II</t>
  </si>
  <si>
    <t>Непродовольственные магазины</t>
  </si>
  <si>
    <t>III</t>
  </si>
  <si>
    <t>Магазины со смешанным ассортиментом товаров</t>
  </si>
  <si>
    <t>IV</t>
  </si>
  <si>
    <t>Торговые центры</t>
  </si>
  <si>
    <t>Информация о дислокации стационарных торговых объектов, расположенных на территории</t>
  </si>
  <si>
    <t>V</t>
  </si>
  <si>
    <t>Торговые комплексы</t>
  </si>
  <si>
    <t>ВСЕГО</t>
  </si>
  <si>
    <t xml:space="preserve">общее количество </t>
  </si>
  <si>
    <t>ИТОГО продовольственные магазины</t>
  </si>
  <si>
    <t xml:space="preserve">ИТОГО непродовольственные магазины </t>
  </si>
  <si>
    <t>общее количество</t>
  </si>
  <si>
    <t>ИТОГО торговые центры</t>
  </si>
  <si>
    <t>ИТОГО торговые комплексы</t>
  </si>
  <si>
    <t>г. Орла</t>
  </si>
  <si>
    <t>г. Ливны</t>
  </si>
  <si>
    <t>г. Мценск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</si>
  <si>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</si>
  <si>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</si>
  <si>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</si>
  <si>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</si>
  <si>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</si>
  <si>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</si>
  <si>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</si>
  <si>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</si>
  <si>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</si>
  <si>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</si>
  <si>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</si>
  <si>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</si>
  <si>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</si>
  <si>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</si>
  <si>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</si>
  <si>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</si>
  <si>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</si>
  <si>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</si>
  <si>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</si>
  <si>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</si>
  <si>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</si>
  <si>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</si>
  <si>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Болховского района</t>
  </si>
  <si>
    <t>Верховского района</t>
  </si>
  <si>
    <t>итого</t>
  </si>
  <si>
    <t>фирменных магазинов региональных товаропроизводителей</t>
  </si>
  <si>
    <t>всего работающих</t>
  </si>
  <si>
    <t>всего продавцов</t>
  </si>
  <si>
    <t>общая площадь всего</t>
  </si>
  <si>
    <t>общая площадь прод</t>
  </si>
  <si>
    <t>общая площадь непрод</t>
  </si>
  <si>
    <t>торговая всего</t>
  </si>
  <si>
    <t>торговая прод</t>
  </si>
  <si>
    <t>торговая непрод</t>
  </si>
  <si>
    <t>ИТОГО непродовольственные магазины</t>
  </si>
  <si>
    <t>ИТОГО магазины со смешанным ассортиментом</t>
  </si>
  <si>
    <t>Наименование торгового  объекта</t>
  </si>
  <si>
    <t>Наименование юридического (физического) лица, хозяйствующего субъекта</t>
  </si>
  <si>
    <t>Ассортимент</t>
  </si>
  <si>
    <t>Юридический и почтовый адрес хозяйст. cубъекта</t>
  </si>
  <si>
    <t>прод. товар.</t>
  </si>
  <si>
    <t>непрод. товар.</t>
  </si>
  <si>
    <t>Торговых объектов открытых в текущем году</t>
  </si>
  <si>
    <t>Режим налогообложения</t>
  </si>
  <si>
    <t>Вид продаваемого алкоголя</t>
  </si>
  <si>
    <t>Уточнение по расположению торгового объекта</t>
  </si>
  <si>
    <t>Относится ли торговый объект к торговой сети</t>
  </si>
  <si>
    <t>торговый объект открыт в отчетном периоде</t>
  </si>
  <si>
    <t>количество торговых мест</t>
  </si>
  <si>
    <t>Адрес расположения объекта</t>
  </si>
  <si>
    <t xml:space="preserve"> объект открыт в текущем году</t>
  </si>
  <si>
    <t>частная собственность</t>
  </si>
  <si>
    <t>договор аренды</t>
  </si>
  <si>
    <t>Информация о дислокации нестационарных торговых объектов (киосков, павильонов), расположенных на территории</t>
  </si>
  <si>
    <t>Вид нестационарного торгового объекта (киоск, павильон)</t>
  </si>
  <si>
    <t>на основе схемы размещения нестационарных торговых объектов</t>
  </si>
  <si>
    <t>муниципальная собственность</t>
  </si>
  <si>
    <t>государственная собственность</t>
  </si>
  <si>
    <t>Киоски продовольственные</t>
  </si>
  <si>
    <t>Киоски непродовольственные</t>
  </si>
  <si>
    <t>Киоски смешанные</t>
  </si>
  <si>
    <t>ИТОГО КИОСКИ</t>
  </si>
  <si>
    <t>Павильоны продовольственные</t>
  </si>
  <si>
    <t>Павильоны непродовольственные</t>
  </si>
  <si>
    <t>Павильоны со смешанным ассортиментом товаров</t>
  </si>
  <si>
    <t xml:space="preserve">Киоски со смешанным ассортиментом </t>
  </si>
  <si>
    <t>ИТОГО ПАВИЛЬОНЫ</t>
  </si>
  <si>
    <t>Итого киоски продовольственные</t>
  </si>
  <si>
    <t>Итого киоски непродовольственные</t>
  </si>
  <si>
    <t>Итого киоски со смешенным ассортиментом</t>
  </si>
  <si>
    <t>Итого павильоны продовольственные</t>
  </si>
  <si>
    <t>Итого павильоны непродовольственные</t>
  </si>
  <si>
    <t>Итого павильоны со смешанным ассортиментом</t>
  </si>
  <si>
    <t>ИТОГО</t>
  </si>
  <si>
    <t xml:space="preserve">общая площадь торговая </t>
  </si>
  <si>
    <t>Фирменных магазинов региональных товаропроизводителей</t>
  </si>
  <si>
    <t>Информация о дислокации розничных рынков, расположенных на территории</t>
  </si>
  <si>
    <t>Наименование и тип рынка</t>
  </si>
  <si>
    <t xml:space="preserve">Место расположения </t>
  </si>
  <si>
    <t xml:space="preserve">ФИО, телефон руководителя управляющей компании </t>
  </si>
  <si>
    <t>Численность сотрудников</t>
  </si>
  <si>
    <t>в т.ч. торговая, кв.м</t>
  </si>
  <si>
    <t>в здании</t>
  </si>
  <si>
    <t>продовольственных</t>
  </si>
  <si>
    <t>непродовольственных</t>
  </si>
  <si>
    <t>для продажи товаров:</t>
  </si>
  <si>
    <t>свободных</t>
  </si>
  <si>
    <t>доходы</t>
  </si>
  <si>
    <t>расходы</t>
  </si>
  <si>
    <t>уплачено налогов</t>
  </si>
  <si>
    <t>вложено средств                          в развитие МТБ рынка</t>
  </si>
  <si>
    <t>финансовый результат</t>
  </si>
  <si>
    <t>Информация о дислокации ярмарок, расположенных на территории</t>
  </si>
  <si>
    <t xml:space="preserve">  Вид     
ярмарки   
по характеру
деятельности</t>
  </si>
  <si>
    <t xml:space="preserve">Срок   
(период) 
проведения
ярмарки  
</t>
  </si>
  <si>
    <t xml:space="preserve"> Место   
проведения
ярмарки  
  </t>
  </si>
  <si>
    <t xml:space="preserve">Специализация
ярмарки   
по классам  
товаров    
</t>
  </si>
  <si>
    <t xml:space="preserve">Администратор
ярмарки, 
ФИО и телефон руководителя  </t>
  </si>
  <si>
    <t>Система ЕГАИС установлена</t>
  </si>
  <si>
    <t>обязанность установки ЕГАИС</t>
  </si>
  <si>
    <t>Егаис установлено</t>
  </si>
  <si>
    <t>Обязанность по установке и использованию системы ЕГАИС</t>
  </si>
  <si>
    <t xml:space="preserve">Информация о развитии торговой сети </t>
  </si>
  <si>
    <t>1. Количество стационарных торговых объектов</t>
  </si>
  <si>
    <t>продовольственные</t>
  </si>
  <si>
    <t xml:space="preserve">непродовольственные </t>
  </si>
  <si>
    <t>смешанного ассортимента</t>
  </si>
  <si>
    <t>торговые центры</t>
  </si>
  <si>
    <t>торговые комплексы</t>
  </si>
  <si>
    <t>2. Закрыто стационарных торговых объектов в отчетном периоде</t>
  </si>
  <si>
    <t>показатель</t>
  </si>
  <si>
    <t>в т.ч. продавцов</t>
  </si>
  <si>
    <t>Общая</t>
  </si>
  <si>
    <t>Торговая</t>
  </si>
  <si>
    <t>в т.ч.</t>
  </si>
  <si>
    <t>Открытых в отчетном периоде</t>
  </si>
  <si>
    <t xml:space="preserve">Ед. </t>
  </si>
  <si>
    <t>Фирменные магазины региональных товаропроизводителей</t>
  </si>
  <si>
    <t>Магазины самообслуживания</t>
  </si>
  <si>
    <t xml:space="preserve">Численность работающих, всего </t>
  </si>
  <si>
    <t>Создано новых рабочих мест</t>
  </si>
  <si>
    <t>Объектов, относящихся к торговой сети</t>
  </si>
  <si>
    <t>Объектов, расположенных в жилом здании</t>
  </si>
  <si>
    <t>Объектов, расположенных в отдельно стоящем здании</t>
  </si>
  <si>
    <t>Объектов, расположенных в ином здании</t>
  </si>
  <si>
    <t>создано новых рабочих мест</t>
  </si>
  <si>
    <t>имеют лицензии</t>
  </si>
  <si>
    <t>Количество магазинов, имеющих лицензии на розничную продажу алкоголя</t>
  </si>
  <si>
    <t>Фирменные объекты региональных товаропроизводителей</t>
  </si>
  <si>
    <t>ИТОГО павильоны</t>
  </si>
  <si>
    <t>киоски непродовольственные</t>
  </si>
  <si>
    <t>павильоны продовольственные</t>
  </si>
  <si>
    <t>павильоны непродовольственные</t>
  </si>
  <si>
    <t xml:space="preserve"> павильоны со смешанным ассортиментом</t>
  </si>
  <si>
    <t>киоски</t>
  </si>
  <si>
    <t>павильоны</t>
  </si>
  <si>
    <t>киоски продовольственные</t>
  </si>
  <si>
    <t>киоски со смешенным ассортиментом</t>
  </si>
  <si>
    <t>ИТОГО киоски</t>
  </si>
  <si>
    <t>4. Закрыто нестационарных торговых объектов в отчетном периоде</t>
  </si>
  <si>
    <t>района</t>
  </si>
  <si>
    <t>Проводилась ли реконструкция торгового объекта в отчетном периоде</t>
  </si>
  <si>
    <t xml:space="preserve">Контактные данные, телефон, факс, е-mail </t>
  </si>
  <si>
    <t xml:space="preserve">Ф.И.О.  руководителя объекта телефон, факс, е-mail </t>
  </si>
  <si>
    <t>является ли торговый объект фирменным магазином региональных товаропроизводителей</t>
  </si>
  <si>
    <t xml:space="preserve">Ф.И.О.  руководителя хоз. субъекта телефон, факс, е-mail </t>
  </si>
  <si>
    <t xml:space="preserve">Наименование
ярмарки  
</t>
  </si>
  <si>
    <t>торговых мест в ТЦ и ТК</t>
  </si>
  <si>
    <t>мест в тк и тц</t>
  </si>
  <si>
    <t xml:space="preserve">Организатор
ярмарки,
ФИО и телефон руководителя   </t>
  </si>
  <si>
    <t>ФИО и телефон директора рынка</t>
  </si>
  <si>
    <t>в т.ч. принадлежащие хозяйствующим субъектам, осуществляющим торговую деятельность посредством организации торговой сети</t>
  </si>
  <si>
    <t>Численность работающих человек</t>
  </si>
  <si>
    <t>Данные юридического или физического лица, использующего объект</t>
  </si>
  <si>
    <t>Данные юридического или физического лица, являющегося собственником объекта</t>
  </si>
  <si>
    <t>является ли объект фирменным объектом региональных товаропроизводителей</t>
  </si>
  <si>
    <t>Режим налогообложения, лица, использующего объект</t>
  </si>
  <si>
    <t>Основания возникновения прав на земельный участок, на котором размещается нестационарный торговый объект</t>
  </si>
  <si>
    <t xml:space="preserve">Режим налогообложения, </t>
  </si>
  <si>
    <t>Количество торговых мест, единиц</t>
  </si>
  <si>
    <t>Финансы, тыс. руб.</t>
  </si>
  <si>
    <t>занимаемых региональными товаропроизводителями</t>
  </si>
  <si>
    <t xml:space="preserve">Управляющая рынком компания
</t>
  </si>
  <si>
    <t>Реконструировано</t>
  </si>
  <si>
    <t>3. Количество нестационарных торговых объектов (киоски, павильоны)</t>
  </si>
  <si>
    <t>Наименование муниципальных образований</t>
  </si>
  <si>
    <t xml:space="preserve"> район</t>
  </si>
  <si>
    <t>Информация о дислокации павильонов и киосков по продаже печатной продукции, расположенных на территории</t>
  </si>
  <si>
    <t xml:space="preserve">Тип предприятия </t>
  </si>
  <si>
    <t>5.Колличество павильонов и ларьков по продаже печатной продукции</t>
  </si>
  <si>
    <t>5. Закрыто павильонов и ларьков по продаже печатной продукции</t>
  </si>
  <si>
    <t>киоск</t>
  </si>
  <si>
    <t xml:space="preserve">точка продажи </t>
  </si>
  <si>
    <t>точки продаж</t>
  </si>
  <si>
    <t>Проводилась ли реконстркция или модернизация торгового объекта в отчетном периоде</t>
  </si>
  <si>
    <t>Проводилась ли реконструкция или модернизация торгового объекта в отчетном периоде</t>
  </si>
  <si>
    <t>Инвестиции в отчетном периоде</t>
  </si>
  <si>
    <t>Вложено средств в развитие МТБ в имеющиеся объекты торговли</t>
  </si>
  <si>
    <t>Вложено средств в развитие МТБ во вновь открывшиеся в отчетном периоде объекты торговли</t>
  </si>
  <si>
    <t xml:space="preserve"> Кромской район</t>
  </si>
  <si>
    <t>Магазин "Горячий хлеб"</t>
  </si>
  <si>
    <t>п. Кромы, ул. Советская, д. 5</t>
  </si>
  <si>
    <t xml:space="preserve">kromy.raypo@yandex.ru </t>
  </si>
  <si>
    <t>Кромское РАЙПО</t>
  </si>
  <si>
    <t>Орловская обл., п. Кромы, пл. Освобождения, д. 1</t>
  </si>
  <si>
    <t>Бирюкова Ж.А., 84864320104</t>
  </si>
  <si>
    <t>продтовары, включая крепкий алкоголь</t>
  </si>
  <si>
    <t>Л</t>
  </si>
  <si>
    <t>ежедневно с 8-00 до 18-00</t>
  </si>
  <si>
    <t>да</t>
  </si>
  <si>
    <t>ЕНВД</t>
  </si>
  <si>
    <t>ИЗ</t>
  </si>
  <si>
    <t>ДА</t>
  </si>
  <si>
    <t>Магазин "Все к столу"</t>
  </si>
  <si>
    <t>п. Кромы, пер. Куренцова, д. 4а</t>
  </si>
  <si>
    <t>4864320857</t>
  </si>
  <si>
    <t>302030, г. Орел, ул. Н. Дубровинского, д. 58, кв. 52</t>
  </si>
  <si>
    <t>Егорцева И.С., 84864321703</t>
  </si>
  <si>
    <t>Козлова О.В., 84864320857</t>
  </si>
  <si>
    <t>продтовары, без крепкого алкоголя</t>
  </si>
  <si>
    <t>П</t>
  </si>
  <si>
    <t>ежедневно с 8-30 до 20-00</t>
  </si>
  <si>
    <t>ОСЗ</t>
  </si>
  <si>
    <t>Магазин "Молочные продукты"</t>
  </si>
  <si>
    <t>п. Кромы, пер. Вожовский</t>
  </si>
  <si>
    <t>kromy_moloko@mail.ru</t>
  </si>
  <si>
    <t>специализированный молочные продукты</t>
  </si>
  <si>
    <t>ежедневно с 9-00 до 15-00</t>
  </si>
  <si>
    <t>Магазин "Смак"</t>
  </si>
  <si>
    <t>Кромской район, с. Шахово</t>
  </si>
  <si>
    <t>9208106710</t>
  </si>
  <si>
    <t>Орловская область, Кромской район, с. Шахово</t>
  </si>
  <si>
    <t>Соломина А.П. 9208106710</t>
  </si>
  <si>
    <t>.продтовары без крепкого алкоголя</t>
  </si>
  <si>
    <t>Ежедневно с 8-00 до 20-00</t>
  </si>
  <si>
    <t>Магазин "Продукты"</t>
  </si>
  <si>
    <t>Кромской район, с. Кутафино, д. 10а</t>
  </si>
  <si>
    <t>ИП Бакин В.В.</t>
  </si>
  <si>
    <t>302010, г. Орел, пер. Маслозаводской, д. 10</t>
  </si>
  <si>
    <t>Бакин В.В., 9066637750, volna.orel@yandex.ru</t>
  </si>
  <si>
    <t>Ежедневно с 9-00 до 20-00</t>
  </si>
  <si>
    <t>Магазин "Татьяна"</t>
  </si>
  <si>
    <t>п. Кромы, пер. Сидельникова, д. 22 г</t>
  </si>
  <si>
    <t>84864320902</t>
  </si>
  <si>
    <t>ИП Лежепеков Г.В.</t>
  </si>
  <si>
    <t>303200, Орловская обл., п. Кромы, д. Черкасская, д. 354 а</t>
  </si>
  <si>
    <t>Лежепеков Г.В., 9103003694, hostorg_kromy@mail.ru</t>
  </si>
  <si>
    <t>ежедневно с 9-00 до 20-00</t>
  </si>
  <si>
    <t>Кромской район, п. Кромской</t>
  </si>
  <si>
    <t>ИП Сонина Н.И.</t>
  </si>
  <si>
    <t>Орловская обл., п. Кромы, ул. Свободы, д. 57, кв. 14</t>
  </si>
  <si>
    <t>Сонина Н.И., 9102082791</t>
  </si>
  <si>
    <t>Сонина Н.И.</t>
  </si>
  <si>
    <t>продтовары без крепкого алкоголя</t>
  </si>
  <si>
    <t>ежедневно с 9-00 до 18-00 перерыв с 13-00 до 14-00</t>
  </si>
  <si>
    <t>Кромской район, д. Черкасская</t>
  </si>
  <si>
    <t>Орловская обл., Кромской район, д. Б. Драгунская</t>
  </si>
  <si>
    <t>Годовников А.Н. 9208168452</t>
  </si>
  <si>
    <t xml:space="preserve">ежедневно с 9-00 до 18-00  </t>
  </si>
  <si>
    <t>п. Кромы, ул. К. Маркса, д. 1</t>
  </si>
  <si>
    <t>ИП Борисенко А.Г.</t>
  </si>
  <si>
    <t>Орловская обл, п. Кромы, ул. Лескова, д. 5, кв. 2</t>
  </si>
  <si>
    <t>Борисенко А.Г., 9208121312</t>
  </si>
  <si>
    <t>ежедневно с 8-00 до 22-00</t>
  </si>
  <si>
    <t>Кромской район, д. Арбузово, д. 25 "Б"</t>
  </si>
  <si>
    <t>ИП Ермакова Л.Н.</t>
  </si>
  <si>
    <t>Орловская обл., Кромской р-н, с. Вожово, д. 26</t>
  </si>
  <si>
    <t>Ермакова Л.Н., 9102674523</t>
  </si>
  <si>
    <t>ежедневно с 9-00 до 20-00, перерыв с 14-00 до 15-00</t>
  </si>
  <si>
    <t>Кромской район, с. Шахово, ул. Победы, д. 16</t>
  </si>
  <si>
    <t>Орловская обл., Кромской р-н, с. Шахово, ул. Победы, д. 16</t>
  </si>
  <si>
    <t>Власенко М.В., 9208127548</t>
  </si>
  <si>
    <t>ежедневно с 9-00 до 19-00</t>
  </si>
  <si>
    <t>Магазин "Ладушка"</t>
  </si>
  <si>
    <t>п. Кромы, ул. К. Маркса, д. 35</t>
  </si>
  <si>
    <t>ООО "Ладушка"</t>
  </si>
  <si>
    <t>Орловская обл., п. Кромы, ул. К. Маркса, д. 35</t>
  </si>
  <si>
    <t>Золотарев Ю.А., 9208053140, oooladushka@yandex.ru</t>
  </si>
  <si>
    <t>ежедневно с 9-00 до 23-00</t>
  </si>
  <si>
    <t>Магазин "Монетка"</t>
  </si>
  <si>
    <t>Кромской район, д. Рассыльная</t>
  </si>
  <si>
    <t xml:space="preserve">ежедневно с 9-00 до 17-00  </t>
  </si>
  <si>
    <t>Магазин "Пиво"</t>
  </si>
  <si>
    <t>9103029033</t>
  </si>
  <si>
    <t>ИП Сычев Ю.В.</t>
  </si>
  <si>
    <t>Сычев Ю.В., 9103029033</t>
  </si>
  <si>
    <t>ежедневно с 9-00 до 22-00</t>
  </si>
  <si>
    <t>9066656666</t>
  </si>
  <si>
    <t>ИП Масалов А.В.</t>
  </si>
  <si>
    <t>Орловская обл., Кромской район, д. Черкасская, д. 38, кв. 2</t>
  </si>
  <si>
    <t>Масалов А.В., 9066656666</t>
  </si>
  <si>
    <t>ежедневно с 10-00 до 23-00</t>
  </si>
  <si>
    <t>Магазин "Живое пиво"</t>
  </si>
  <si>
    <t>п. Кромы, ул. 25 Октября, д. 10</t>
  </si>
  <si>
    <t>9192720002</t>
  </si>
  <si>
    <t>ИП Мемедляева О.И.</t>
  </si>
  <si>
    <t>г. Курск, пр. В. Клыкова, д. 92, кв. 40</t>
  </si>
  <si>
    <t>Мемедляева О.И., 9192720002</t>
  </si>
  <si>
    <t>пн.-ср. с 11-00 до 22-00, чт.-вс. с 10-00 до 23-00</t>
  </si>
  <si>
    <t>п. Кромы, ул. К. Маркса, д. 33</t>
  </si>
  <si>
    <t>ежедневно с 9-00 до 18-00</t>
  </si>
  <si>
    <t>Магазин "Вкусная лавка"</t>
  </si>
  <si>
    <t>п. Кромы, ул. К. Маркса, д. 43</t>
  </si>
  <si>
    <t>9102032676</t>
  </si>
  <si>
    <t>ИП Старокольцева Н.А.</t>
  </si>
  <si>
    <t>Орловская обл., п. Кромы, пер. Ленинский, д. 38</t>
  </si>
  <si>
    <t>Старокольцева Н.А.</t>
  </si>
  <si>
    <t>Кромской район, с. Вожово, ул. Мира, д. 5а</t>
  </si>
  <si>
    <t>Магазин "Черкасский"</t>
  </si>
  <si>
    <t>Магазин "Березка"</t>
  </si>
  <si>
    <t>Магазин "Рябинушка"</t>
  </si>
  <si>
    <t>п. Кромы, ул. К. Маркса, д. 90</t>
  </si>
  <si>
    <t>ЖД</t>
  </si>
  <si>
    <t>Магазин "Тандем"</t>
  </si>
  <si>
    <t>п. Кромы, ул. 30 лет Победы, д. 46</t>
  </si>
  <si>
    <t>Магазин "Околица"</t>
  </si>
  <si>
    <t>Кромской район, д. Черкасская, д. 354а</t>
  </si>
  <si>
    <t>84864322867</t>
  </si>
  <si>
    <t>Кромской район, д. Семенково, д. 69</t>
  </si>
  <si>
    <t>Магазин "Новинка"</t>
  </si>
  <si>
    <t>п. Кромы, ул. К. Маркса, д. 24</t>
  </si>
  <si>
    <t>84864320560</t>
  </si>
  <si>
    <t>Кромской район, д. Макеево</t>
  </si>
  <si>
    <t>Ежедневно с 8-00 до 19-00</t>
  </si>
  <si>
    <t>Кромской район, с. Вожово, ул. Строителей, д. 23а</t>
  </si>
  <si>
    <t>Магазин "Мимоза"</t>
  </si>
  <si>
    <t>Кромской район, п. Шоссе, д. 2б</t>
  </si>
  <si>
    <t>группа непродовольственных товаров</t>
  </si>
  <si>
    <t>ежедневно с 9-00 до 17-00</t>
  </si>
  <si>
    <t>Магазин "Строитель"</t>
  </si>
  <si>
    <t>п. Кромы, ул. Свободы, д. 57</t>
  </si>
  <si>
    <t>строительные товары</t>
  </si>
  <si>
    <t>ежедневно с 9-00 до 17-00, перерыв с 13-00 до 14-00, суббота, воскресенье без перерыва с 9-00 до 15-00</t>
  </si>
  <si>
    <t>ежедневно с 9-00 до 16-00</t>
  </si>
  <si>
    <t>9066626262</t>
  </si>
  <si>
    <t>Магазин "Автозапчасти"</t>
  </si>
  <si>
    <t>9102068145</t>
  </si>
  <si>
    <t>ИП Чалоян С. Э.</t>
  </si>
  <si>
    <t>Чалоян С.Э., 9102068145</t>
  </si>
  <si>
    <t>автозапчасти</t>
  </si>
  <si>
    <t xml:space="preserve">ежедневно с 9-00 до 17-00 </t>
  </si>
  <si>
    <t>84864320189</t>
  </si>
  <si>
    <t>ИП Сергеева И.Г.</t>
  </si>
  <si>
    <t>Сергеева И.Г., 84864322742</t>
  </si>
  <si>
    <t>ежедневно с 9-00 до 17-00, выходной - понедельник</t>
  </si>
  <si>
    <t>Магазин "Семена"</t>
  </si>
  <si>
    <t>п. Кромы, Базарная площадь</t>
  </si>
  <si>
    <t>ОАО "Орелсортсемовощ"</t>
  </si>
  <si>
    <t>302040, г. Орел, ул. Андрианова, д. 8</t>
  </si>
  <si>
    <t>Авдеева С.В. (4862) 76-84-99</t>
  </si>
  <si>
    <t>семена, удобрения</t>
  </si>
  <si>
    <t>Магазин "Строй Мастер"</t>
  </si>
  <si>
    <t>п. Кромы, ул. 25 Октября, д. 23</t>
  </si>
  <si>
    <t>ИП Луканкин А.В.</t>
  </si>
  <si>
    <t>строительные материалы</t>
  </si>
  <si>
    <t>Магазин "Каприз"</t>
  </si>
  <si>
    <t>п. Кромы, ул. К. Маркса, д. 3</t>
  </si>
  <si>
    <t>9102060065</t>
  </si>
  <si>
    <t>ИП Касьянова М.В.</t>
  </si>
  <si>
    <t>Касьянова М.В. 9102060065</t>
  </si>
  <si>
    <t>женская одежда</t>
  </si>
  <si>
    <t>ежедневно с 10-00 до 18-00, перерыв с 13-00 до 14-00, суббота с 10-00 до 15-00, выходной - воскресенье</t>
  </si>
  <si>
    <t>Магазин "Гарант"</t>
  </si>
  <si>
    <t>9102657977</t>
  </si>
  <si>
    <t>ИП Козорезова Н.А.</t>
  </si>
  <si>
    <t>Козорезова Н.А., 9102657977</t>
  </si>
  <si>
    <t>товары повседневного спроса для дома и сада, интерьера, декора</t>
  </si>
  <si>
    <t>Кромской район, д. Кромской мост, АЗС №5</t>
  </si>
  <si>
    <t>ИП Шестопалов Н.М.</t>
  </si>
  <si>
    <t>Шестопалов Н.М.</t>
  </si>
  <si>
    <t>Магазин "Все для дома"</t>
  </si>
  <si>
    <t xml:space="preserve">п. Кромы, ул. 25 Октября, д. 8 </t>
  </si>
  <si>
    <t>Кромской район, д. Кромской мост</t>
  </si>
  <si>
    <t>84864322979</t>
  </si>
  <si>
    <t>ИП Чечкин В.Е.</t>
  </si>
  <si>
    <t>Чечкин В.Е., 84864322979</t>
  </si>
  <si>
    <t>Магазин "Дом, сад, огород"</t>
  </si>
  <si>
    <t>п. Кромы, пер. Сидельникова, д. 22 а</t>
  </si>
  <si>
    <t>84864326138</t>
  </si>
  <si>
    <t>ИП Барабашов Ю.А.</t>
  </si>
  <si>
    <t>Барабашов Ю.А., 9103013648</t>
  </si>
  <si>
    <t>товары для дома</t>
  </si>
  <si>
    <t>ежедневно с 9-00 до 18-00, перерыв с 14-00 до 15-00</t>
  </si>
  <si>
    <t>Магазин-салон "Эдеас"</t>
  </si>
  <si>
    <t>п. Кромы, пер. Сидельникова, д. 22 в</t>
  </si>
  <si>
    <t>ИП Полехин С.В.</t>
  </si>
  <si>
    <t>Полехин С.В., 9208117010</t>
  </si>
  <si>
    <t>сопутствующие товары к фото</t>
  </si>
  <si>
    <t>Магазин "Промтовары"</t>
  </si>
  <si>
    <t>п. Кромы, ул. К. Маркса, д. 5</t>
  </si>
  <si>
    <t>мебель и бытовая техника</t>
  </si>
  <si>
    <t>Магазин "Армада"</t>
  </si>
  <si>
    <t>9202879887</t>
  </si>
  <si>
    <t>ИП Басова М.П.</t>
  </si>
  <si>
    <t>Басова М.П., 9202879887</t>
  </si>
  <si>
    <t>ежедневно с 8-00 до 19-00, суббота, вовскресенье с 8-00 до 17-00</t>
  </si>
  <si>
    <t>Магазин "Непоседа"</t>
  </si>
  <si>
    <t>9103005877</t>
  </si>
  <si>
    <t>ИП Донцова Н.А.</t>
  </si>
  <si>
    <t>Орловская обл., п. Кромы, ул. Советская, д. 62а, кв. 8</t>
  </si>
  <si>
    <t>Донцова Н.А., 9103005877</t>
  </si>
  <si>
    <t>детские товары, детская одежда</t>
  </si>
  <si>
    <t>ежедневно с 9-00 до 18-00, без перерыва, выходной - воскресенье</t>
  </si>
  <si>
    <t>Магазин "Детская обувь"</t>
  </si>
  <si>
    <t>детская обувь</t>
  </si>
  <si>
    <t>Магазин "1000 мелочей"</t>
  </si>
  <si>
    <t>п. Кромы, пер. Бубнова, д. 24а</t>
  </si>
  <si>
    <t>9103008133</t>
  </si>
  <si>
    <t>ИП Висягин С.А.</t>
  </si>
  <si>
    <t>Орловская обл., п. Кромы, ул. К. Маркса, д. 40а, кв. 41</t>
  </si>
  <si>
    <t>Висягин С.А., 9103008133</t>
  </si>
  <si>
    <t>Магазин "Автотрест"</t>
  </si>
  <si>
    <t>п. Кромы, пер. Бубнова, д. 21</t>
  </si>
  <si>
    <t>84864321695</t>
  </si>
  <si>
    <t>ИП Романов А.Ю.</t>
  </si>
  <si>
    <t>Романов А.Ю., 9102628314</t>
  </si>
  <si>
    <t>автозапчасти, краска</t>
  </si>
  <si>
    <t>Магазин "Пиротехника"</t>
  </si>
  <si>
    <t>9208090080</t>
  </si>
  <si>
    <t>ИП Шекшуева О.В.</t>
  </si>
  <si>
    <t>Шекшуева О.В. 9208090080</t>
  </si>
  <si>
    <t>пиротехника</t>
  </si>
  <si>
    <t>Магазин "Шанс"</t>
  </si>
  <si>
    <t>п. Кромы, пер. Сидельникова, д. 5</t>
  </si>
  <si>
    <t>9050466943</t>
  </si>
  <si>
    <t>ИП Тимохин С.Л.</t>
  </si>
  <si>
    <t>Тимохин С.Л., 9050466943</t>
  </si>
  <si>
    <t>ткани, товары для рукоделия</t>
  </si>
  <si>
    <t>Магазин "Первый обувной"</t>
  </si>
  <si>
    <t>9155016827</t>
  </si>
  <si>
    <t>ИП Болвинова О.Н.</t>
  </si>
  <si>
    <t>Болвинова О.Н., 9155016827</t>
  </si>
  <si>
    <t>обувь</t>
  </si>
  <si>
    <t>Магазин "Одежда"</t>
  </si>
  <si>
    <t>ИП Мельникова В.И.</t>
  </si>
  <si>
    <t>Мельникова В.И.</t>
  </si>
  <si>
    <t>повседневная одежда</t>
  </si>
  <si>
    <t>ежедневно с 10-00 до 18-00, воскресенье с 10-00 до 15-00</t>
  </si>
  <si>
    <t>Магазин "Окна двери"</t>
  </si>
  <si>
    <t>9102048477</t>
  </si>
  <si>
    <t>ИП Лежепеков В.В.</t>
  </si>
  <si>
    <t>Лежепеков В.В., 9102048477</t>
  </si>
  <si>
    <t>окна, двери</t>
  </si>
  <si>
    <t>Магазин "Хозторг"</t>
  </si>
  <si>
    <t>п. Кромы, ул. К. Маркса, д. 38а</t>
  </si>
  <si>
    <t>Орловская обл., п. Кромы, ул. Молодежная, д. 11</t>
  </si>
  <si>
    <t>Бытовая техника, товары для дома, интерьера, стройматериалы</t>
  </si>
  <si>
    <t>Магазин № 17</t>
  </si>
  <si>
    <t>п. Кромы, ул. 25 Октября, д. 49</t>
  </si>
  <si>
    <t>84864320148</t>
  </si>
  <si>
    <t>сдается в аренду</t>
  </si>
  <si>
    <t>Магазин "Виктория"</t>
  </si>
  <si>
    <t>п. Кромы, пер. Газопроводский, д. 7</t>
  </si>
  <si>
    <t xml:space="preserve">84864320148, kromy.raypo@yandex.ru </t>
  </si>
  <si>
    <t>продтовары включая крепкий алкоголь, чистящие и моющие средства</t>
  </si>
  <si>
    <t>ежедневно с 9-00 до 21-00</t>
  </si>
  <si>
    <t>Магазин № 55</t>
  </si>
  <si>
    <t>Кромской район, д. Бельдяжки</t>
  </si>
  <si>
    <t>84864324335</t>
  </si>
  <si>
    <t>ежедневно с 9-00 до 18-00, выходной - воскресенье</t>
  </si>
  <si>
    <t>Магазин № 56</t>
  </si>
  <si>
    <t>Кромской район, с. Кутафино</t>
  </si>
  <si>
    <t>84864321183</t>
  </si>
  <si>
    <t>Сыромятников М.А.</t>
  </si>
  <si>
    <t>Магазин № 36</t>
  </si>
  <si>
    <t>Кромской район, д. Моховое</t>
  </si>
  <si>
    <t>Крутых Е.А.</t>
  </si>
  <si>
    <t>Магазин № 50</t>
  </si>
  <si>
    <t>Кромской район, д. Гостомль</t>
  </si>
  <si>
    <t>84864325224</t>
  </si>
  <si>
    <t>Шейченко А.В., 84864325224</t>
  </si>
  <si>
    <t>Магазин № 4</t>
  </si>
  <si>
    <t>Кромской район, д. Котовка</t>
  </si>
  <si>
    <t>84864323130</t>
  </si>
  <si>
    <t>Магазин № 1</t>
  </si>
  <si>
    <t>Кромской район, с. Короськово</t>
  </si>
  <si>
    <t>Ханыкина Л.И.</t>
  </si>
  <si>
    <t>Магазин № 2</t>
  </si>
  <si>
    <t>Кромской район, д. Семенково</t>
  </si>
  <si>
    <t>Мусатова Т.Н.</t>
  </si>
  <si>
    <t>ежедневно с 9-00 до 17-00, выходной - воскресенье</t>
  </si>
  <si>
    <t>Магазин № 9</t>
  </si>
  <si>
    <t>Кромской район, д. Б. Колчево</t>
  </si>
  <si>
    <t xml:space="preserve">Магазин № 18 </t>
  </si>
  <si>
    <t>Магазин АЗК № 5 ОАО "Орелнефтепродукт"</t>
  </si>
  <si>
    <t>ОАО "Орелнефтепродукт"</t>
  </si>
  <si>
    <t>г. Орел., ул. Маяковского, д. 40</t>
  </si>
  <si>
    <t>Белянский А.Н., 84862432175, onp@onp.orel.ru</t>
  </si>
  <si>
    <t>Булгаков М.Н., 84864321408</t>
  </si>
  <si>
    <t>сопутствующие продтовары в дорогу</t>
  </si>
  <si>
    <t>круглосуточно</t>
  </si>
  <si>
    <t>ФКУ ИК-6 Минюста России</t>
  </si>
  <si>
    <t>303222, Орловская обл., Кромской район, п.Шахово</t>
  </si>
  <si>
    <t>Филин Дмитрий Юрьевич,  8(48643) 2-06-45, 2-06-75</t>
  </si>
  <si>
    <t>Корнеев С.В., 84864321337</t>
  </si>
  <si>
    <t>продтовары  и мыльные принадлежности</t>
  </si>
  <si>
    <t>продтовары без крепкого алкоголя, чистящие и моющие средства</t>
  </si>
  <si>
    <t>продтовары, включая пиво, чистящие и моющие средства</t>
  </si>
  <si>
    <t>303200, Орловская обл., п. Кромы, ул. 5 Августа, д. 1, кв. 7</t>
  </si>
  <si>
    <t>Смагина Т.Г., 84864320560</t>
  </si>
  <si>
    <t>Егорцев А.В., eav2304@rambler.ru</t>
  </si>
  <si>
    <t>продтовары, чистящие и моющие средства</t>
  </si>
  <si>
    <t>Ежедневно с 9-00 до 21-00</t>
  </si>
  <si>
    <t>Кромской район, с. Апальково</t>
  </si>
  <si>
    <t>Кромской район, д. Н. Федотово</t>
  </si>
  <si>
    <t>п. Кромы, ул. К. Маркса, д. 71</t>
  </si>
  <si>
    <t>Кромской район, с. Вожово, д. 5, кв. 1</t>
  </si>
  <si>
    <t>9606533707</t>
  </si>
  <si>
    <t>Продукты питания, чистящие и моющие средства, средства личной гигиены</t>
  </si>
  <si>
    <t>303200, Орловская обл., п. Кромы, ул. Молодежная, д. 11</t>
  </si>
  <si>
    <t>продтовары,чистящие и моющие средства</t>
  </si>
  <si>
    <t>п. Кромы, пер. Куренцова, д. 10а</t>
  </si>
  <si>
    <t>Магазин "Магнит"</t>
  </si>
  <si>
    <t>п. Кромы, ул. К. Маркса, д. 40</t>
  </si>
  <si>
    <t>ЗАО "Тандер"</t>
  </si>
  <si>
    <t>Орловская обл, Орловский район, д. Хардиково, ул. Совхозная, д. 10</t>
  </si>
  <si>
    <t>Новикова Г.Н., 4862339171</t>
  </si>
  <si>
    <t>продтовары, включая крепкий алкоголь, чистящие и моющие средства</t>
  </si>
  <si>
    <t>Орловская обл., п. Кромы, ул. Тургенева</t>
  </si>
  <si>
    <t>Магазин "Домашний"</t>
  </si>
  <si>
    <t>п. Кромы, ул. 1 Мая, д. 39 лит. А</t>
  </si>
  <si>
    <t>84864322835</t>
  </si>
  <si>
    <t>Романова Т.А., 9202841028</t>
  </si>
  <si>
    <t>продтовары, включая товары личной гигиены</t>
  </si>
  <si>
    <t>Магазин "Любимый"</t>
  </si>
  <si>
    <t>Кромской район, д. Малая Драгунская, д. 19</t>
  </si>
  <si>
    <t>ИП Годовников А.Н.</t>
  </si>
  <si>
    <t>9192684304</t>
  </si>
  <si>
    <t>Лебедева О.В., 89192684304</t>
  </si>
  <si>
    <t>9208108343</t>
  </si>
  <si>
    <t>303210, Орловская обл., Кромской р-н, д. Черкасская, д. 63В</t>
  </si>
  <si>
    <t>Дигель Н.В., 9208108343</t>
  </si>
  <si>
    <t>Кромской район, д. М. Драгунская, д. 19</t>
  </si>
  <si>
    <t>9202867056</t>
  </si>
  <si>
    <t>ИП Корягина С.В.</t>
  </si>
  <si>
    <t>Корягина Светлана Валерьевна, 9202867056</t>
  </si>
  <si>
    <t>продтовары без алкоголя, чистящие и моющие средства</t>
  </si>
  <si>
    <t>ежедневно с 9-00 до 19-00, выходной - понедельник</t>
  </si>
  <si>
    <t>п. Кромы, пер. Пушкарский, д. 8а</t>
  </si>
  <si>
    <t>Магазин "Звездочка"</t>
  </si>
  <si>
    <t>Кромской район, п. Успенский, д. 18</t>
  </si>
  <si>
    <t>9066651599</t>
  </si>
  <si>
    <t>ИП Конорбаева Е.Ш.</t>
  </si>
  <si>
    <t>Конорбаева Е.Ш., 9066651599</t>
  </si>
  <si>
    <t>ежедневно с 9-00 до 20-00, выходной - понедельник</t>
  </si>
  <si>
    <t>Магазин "ИП Двояк Е.В."</t>
  </si>
  <si>
    <t>Кромской район, с. Кривчиково</t>
  </si>
  <si>
    <t>9202867822</t>
  </si>
  <si>
    <t>ИП Двояк Е.В.</t>
  </si>
  <si>
    <t>Орловская обл., Кромской район, с. Кривчиково, д. 175</t>
  </si>
  <si>
    <t>Двояк Е.В., 9202867822</t>
  </si>
  <si>
    <t>Магазин "Пятерочка"</t>
  </si>
  <si>
    <t>ООО "Агроторг"</t>
  </si>
  <si>
    <t>г. Санкт Петербург, ул. Варшавская, д. 23</t>
  </si>
  <si>
    <t>Игорь Шехтерман, +7 (812) 448-30-10, box335@mail.wplus.net</t>
  </si>
  <si>
    <t>Деева И.В., 9031138039</t>
  </si>
  <si>
    <t>9102004000</t>
  </si>
  <si>
    <t>Петросян Л.А., 9102004000</t>
  </si>
  <si>
    <t>"Торговый центр"</t>
  </si>
  <si>
    <t>Егорцев А.В., 9107480996</t>
  </si>
  <si>
    <t>ИП Егорцев А.В.</t>
  </si>
  <si>
    <t>Орловская обл., п. Кромы, пер. Пушкарский, д. 8а</t>
  </si>
  <si>
    <t>Сдается в аренду</t>
  </si>
  <si>
    <t>"Бизнес центр"</t>
  </si>
  <si>
    <t>п. Кромы, ул. 25 Октября, д. 38 "А"</t>
  </si>
  <si>
    <t>ИП Манохин И.А.</t>
  </si>
  <si>
    <t>Манохин И.А.</t>
  </si>
  <si>
    <t>ежедневно с 8-00 до 20-00</t>
  </si>
  <si>
    <t>п. Кромы, ул. 25 Октября, д. 29</t>
  </si>
  <si>
    <t>Бречкина Н.В. 84864320534</t>
  </si>
  <si>
    <t>ООО "Торговый дом "Мастер-М"</t>
  </si>
  <si>
    <t>143405,Московская обл, г. Красногорск, ш. Ильинское д. 4; п. Кромы, ул. 25 Октября, д. 29</t>
  </si>
  <si>
    <t>Михайлюков И.В.</t>
  </si>
  <si>
    <t>Торговый центр "Кромы"</t>
  </si>
  <si>
    <t>п. Кромы, ул. 25 Октября, д. 20</t>
  </si>
  <si>
    <t>Абашидзе М.С.</t>
  </si>
  <si>
    <t>ИП Абашидзе М.С.</t>
  </si>
  <si>
    <t>Абашидзе М.С., 9192040539</t>
  </si>
  <si>
    <t>ежедневно с 8-00 до 19-00</t>
  </si>
  <si>
    <t>Магазин "Красное и Белое"</t>
  </si>
  <si>
    <t>ООО "Альфа Владимир"</t>
  </si>
  <si>
    <t>600024, Владимирская обл., г. Владимир, ул. Западная, д. 59</t>
  </si>
  <si>
    <t>Леонов Андрей Сергеевич</t>
  </si>
  <si>
    <t>Грицкова Екатерина Сергеевна, 89208096088</t>
  </si>
  <si>
    <t>ежедневно с 9-00 до 22-05</t>
  </si>
  <si>
    <t>Киоск "Хлеб"</t>
  </si>
  <si>
    <t>ИП Сафонова Е.В.</t>
  </si>
  <si>
    <t>Хлеб и хлебобулочные изделия</t>
  </si>
  <si>
    <t>ежедневно с 8-00 до 14-00, выходной - понедельник</t>
  </si>
  <si>
    <t>Киоск "Хозтовары"</t>
  </si>
  <si>
    <t>Кромы, пер. Вожовский</t>
  </si>
  <si>
    <t>ИП Буренина А.В.</t>
  </si>
  <si>
    <t>Товары для строительства и ремонта</t>
  </si>
  <si>
    <t>ежедневно с 8-00 до 16-00, выходной - понедельник</t>
  </si>
  <si>
    <t>Киоск</t>
  </si>
  <si>
    <t>ИП Решедько Е.А.</t>
  </si>
  <si>
    <t>Одежда</t>
  </si>
  <si>
    <t>Киоск "1000 мелочей"</t>
  </si>
  <si>
    <t>ИП Висягин С.А., 9103008133, vsa-orel@mail.ru</t>
  </si>
  <si>
    <t>Стройматериалы и товары для дома</t>
  </si>
  <si>
    <t>Павильон</t>
  </si>
  <si>
    <t>п. Кромы, ул. 25 Октября, д. 1 "А"</t>
  </si>
  <si>
    <t>ИП Таничева И.Н.</t>
  </si>
  <si>
    <t>Таничева И.Н.</t>
  </si>
  <si>
    <t>Продтовары, включая пиво</t>
  </si>
  <si>
    <t>Павильон "Самое любимое"</t>
  </si>
  <si>
    <t>п. Кромы (территория ярмарочной площади)</t>
  </si>
  <si>
    <t>ИП Лежепекова Н.Н.</t>
  </si>
  <si>
    <t>Лежепекова Н.Н.</t>
  </si>
  <si>
    <t>Кондитерские изделия</t>
  </si>
  <si>
    <t>ежедневно с 9-00 до 15-00, выходной - понедельник</t>
  </si>
  <si>
    <t>Павильон "Родное село"</t>
  </si>
  <si>
    <t>ОАО АПК "Орловская Нива"</t>
  </si>
  <si>
    <t>Мясная, молочная и хлебная продукция</t>
  </si>
  <si>
    <t>Павильон "Продукты"</t>
  </si>
  <si>
    <t>ежедневно с 8-00 до 16-00, выходной - понедельник, среда</t>
  </si>
  <si>
    <t>Павильон "Дубки"</t>
  </si>
  <si>
    <t>п. Кромы, ул. 25 Октября, д. 5</t>
  </si>
  <si>
    <t>ИП Исаенко Д.С.</t>
  </si>
  <si>
    <t xml:space="preserve">Павильон </t>
  </si>
  <si>
    <t>ИП Дрожжаков И.В.</t>
  </si>
  <si>
    <t>Установка антенн "Триколор ТВ"</t>
  </si>
  <si>
    <t>ежедневно с 9-00 до 16-00, выходной - понедельник</t>
  </si>
  <si>
    <t>Павильон "Евросеть"</t>
  </si>
  <si>
    <t>п. Кромы, 25 Октября, д. 5</t>
  </si>
  <si>
    <t>Сотовые телефоны, планшеты и сопутствующие товары к ним</t>
  </si>
  <si>
    <t>Павильон "Цифромаркет"</t>
  </si>
  <si>
    <t>ИП Сидорова Н.И.</t>
  </si>
  <si>
    <t>ИП Новиков С.А.</t>
  </si>
  <si>
    <t>CD DVD диски (фильмы, музыка)</t>
  </si>
  <si>
    <t>Павильон "Игрушки"</t>
  </si>
  <si>
    <t>ИП Новикова О.Е.</t>
  </si>
  <si>
    <t>детские игрушки, одежда, обувь</t>
  </si>
  <si>
    <t>ИП Ионин С.А.</t>
  </si>
  <si>
    <t>ИП Сасин В.Л.</t>
  </si>
  <si>
    <t>Хозтовары</t>
  </si>
  <si>
    <t>ИП Елховикова Л.В.</t>
  </si>
  <si>
    <t>Семена, рассада</t>
  </si>
  <si>
    <t>ежедневно с 8-00 до 15-00, выходной - понедельник</t>
  </si>
  <si>
    <t>Павильон "Джинсы"</t>
  </si>
  <si>
    <t>Джинсы, брюки, рубашки</t>
  </si>
  <si>
    <t>Павильон "Детская одежда"</t>
  </si>
  <si>
    <t>Детская одежда</t>
  </si>
  <si>
    <t>Павильон "Связной"</t>
  </si>
  <si>
    <t>ИП Ефимов В.В.</t>
  </si>
  <si>
    <t>Сотовые телефоны (Ремонт и обслуживание цифровой техники)</t>
  </si>
  <si>
    <t>Павильон "Цветы Анастасия"</t>
  </si>
  <si>
    <t>ИП Савчина Е.Л., 9103085567</t>
  </si>
  <si>
    <t>горшечные, срезанные цветы, сувениры</t>
  </si>
  <si>
    <t>Кромской район, д. Шумаково</t>
  </si>
  <si>
    <t>ИП Мекшинева Т.А.</t>
  </si>
  <si>
    <t>продовольственный товары и товары повседневного спроса</t>
  </si>
  <si>
    <t>Кромского района</t>
  </si>
  <si>
    <t>с 7-00 до 15-00</t>
  </si>
  <si>
    <t>Ярмарочная площадь с торговыми павильонами</t>
  </si>
  <si>
    <t>универсальная</t>
  </si>
  <si>
    <t>Продтовары, обувь, одежда</t>
  </si>
  <si>
    <t>Ежедневно, кроме понедельника с 7-00 до 15-00</t>
  </si>
  <si>
    <t>Кромской район, д. Б. Колчево, д. 73 А</t>
  </si>
  <si>
    <t>303211, Орловская область, Кромской р-н, д. Б. Колчева, д. 73А</t>
  </si>
  <si>
    <t>с 9-00 до 21-00, перерыв с 12-00 до 15-00, без выходных</t>
  </si>
  <si>
    <t>Хошин Ю.А. 9616216011</t>
  </si>
  <si>
    <t>ИП Хошин Юрий Алексеевич</t>
  </si>
  <si>
    <t>п. Кромы, пер. Вожовский, д. 19 (на территории рынка)</t>
  </si>
  <si>
    <t>ИП Парамонова Ольга Григорьевна</t>
  </si>
  <si>
    <t>Парамонова О.Г.</t>
  </si>
  <si>
    <t>с 9-00 до 15-00, выходной - понедельник</t>
  </si>
  <si>
    <t>енвд</t>
  </si>
  <si>
    <t>осз</t>
  </si>
  <si>
    <t>из</t>
  </si>
  <si>
    <t>п. Кромы, ул. 25 Октября, д. 12</t>
  </si>
  <si>
    <t>ИП Беляев Вадим Юрьевич</t>
  </si>
  <si>
    <t>Беляев В.Ю.</t>
  </si>
  <si>
    <t>с 9-00 до 17-00</t>
  </si>
  <si>
    <t>ОПС Апальково</t>
  </si>
  <si>
    <t>Кромской почтамт УФПС Орловской области – филиала ФГУП «Почта России»</t>
  </si>
  <si>
    <t>п. Кромы, ул. 25 Октября, д. 30</t>
  </si>
  <si>
    <t>УФПС Орловской области – филиала ФГУП «Почта России»</t>
  </si>
  <si>
    <t>302028, г. Орел, ул. Ленина, д. 43</t>
  </si>
  <si>
    <t>Чулкова Людмила Николаевна, 8(4862) 41-01-47</t>
  </si>
  <si>
    <t>Абалаков Дмитрий Александрович 8(48643)21496</t>
  </si>
  <si>
    <t>Кромской р-н, Апальковское с.п., с. Апальково</t>
  </si>
  <si>
    <t>с 9-00 до 20-00</t>
  </si>
  <si>
    <t>ОПС Арбузово</t>
  </si>
  <si>
    <t xml:space="preserve">Кромской район, Гуторовское с.п.,
с. Арбузово
</t>
  </si>
  <si>
    <t>п. Кромы, ул. 25 Октября, д. 31</t>
  </si>
  <si>
    <t>Абалаков Дмитрий Александрович 8(48643)21497</t>
  </si>
  <si>
    <t>ОПС Атяевка</t>
  </si>
  <si>
    <t xml:space="preserve">Кромской район, Большеколчевское с.п.,
д. Атяевка, д. 1
</t>
  </si>
  <si>
    <t>п. Кромы, ул. 25 Октября, д. 32</t>
  </si>
  <si>
    <t>Абалаков Дмитрий Александрович 8(48643)21498</t>
  </si>
  <si>
    <t>ОПС Бельдяжки</t>
  </si>
  <si>
    <t xml:space="preserve">Кромской район, Бельдяжское с.п.,
д. Бельдяжки
</t>
  </si>
  <si>
    <t>п. Кромы, ул. 25 Октября, д. 33</t>
  </si>
  <si>
    <t>Абалаков Дмитрий Александрович 8(48643)21499</t>
  </si>
  <si>
    <t xml:space="preserve">ОПС Шахово </t>
  </si>
  <si>
    <t xml:space="preserve">ОПС Кутафино </t>
  </si>
  <si>
    <t xml:space="preserve">Кромской район, Шаховское с.п., 
д. Котовка
</t>
  </si>
  <si>
    <t xml:space="preserve">ОПС Моховое </t>
  </si>
  <si>
    <t xml:space="preserve">ОПС Новочеркасский </t>
  </si>
  <si>
    <t xml:space="preserve">ОПС Шоссе </t>
  </si>
  <si>
    <t xml:space="preserve">ОПС Победа </t>
  </si>
  <si>
    <t xml:space="preserve">ОПС Кромской </t>
  </si>
  <si>
    <t xml:space="preserve">ОПС Глинки </t>
  </si>
  <si>
    <t xml:space="preserve">Кромской район, Гостомльское с.п.,
д. Моховое
</t>
  </si>
  <si>
    <t xml:space="preserve">Кромской район, Стрелецкое с.п.,
п. Новочеркасский
</t>
  </si>
  <si>
    <t xml:space="preserve">Кромской район, Гостомльское с.п., 
п. Шоссе 
</t>
  </si>
  <si>
    <t xml:space="preserve">Кромской район, Шаховское с.п., 
д. Победа
</t>
  </si>
  <si>
    <t>Кромской район, Большеколчевского с.п., п. Кромской</t>
  </si>
  <si>
    <t>Торговый центр "Южный"</t>
  </si>
  <si>
    <t>Кромской район, Кутафинского с.п., д. Глинки, д. 40</t>
  </si>
  <si>
    <t xml:space="preserve">Кромской район, Кутафинское с.п.,
с. Кутафино, д. 5
</t>
  </si>
  <si>
    <t>Шохина И.Н.</t>
  </si>
  <si>
    <t>Митрякова Л.Л.</t>
  </si>
  <si>
    <t>Белякова И.В.</t>
  </si>
  <si>
    <t>Басова Е.А.</t>
  </si>
  <si>
    <t>с 9-00 до 18-00, выходной: воскресенье, понедельник</t>
  </si>
  <si>
    <t>Швецова О.В.</t>
  </si>
  <si>
    <t>Шишкина Г.А.</t>
  </si>
  <si>
    <t>Плясова М.А.</t>
  </si>
  <si>
    <t>Семушкина Г.М.</t>
  </si>
  <si>
    <t>Мальфанова М.В.</t>
  </si>
  <si>
    <t>с 9-00 до 17-00, выходной: воскресенье, понедельник</t>
  </si>
  <si>
    <t>Голубева Т.Н.</t>
  </si>
  <si>
    <t>Кулешова И.А.</t>
  </si>
  <si>
    <t>Костаков А.А.</t>
  </si>
  <si>
    <t>Сопина Г.Н.</t>
  </si>
  <si>
    <t>с 9-00 до 17-00, выходной: воскресенье, понедельник, четверг</t>
  </si>
  <si>
    <t>Катальникова Т.И.</t>
  </si>
  <si>
    <t>ОПС Федотово</t>
  </si>
  <si>
    <t>Кромской р-н, Апальковское с.п., д. Н. Федотово</t>
  </si>
  <si>
    <t>п. Кромы, ул. 25 Октября, д. 34</t>
  </si>
  <si>
    <t>Абалаков Дмитрий Александрович 8(48643)21500</t>
  </si>
  <si>
    <t>Карась С.А.</t>
  </si>
  <si>
    <t>с 10-00 до 15-00, выходной: воскресенье, понедельник, четверг</t>
  </si>
  <si>
    <t>ОПС Короськово</t>
  </si>
  <si>
    <t>Кромской р-н, Короськовское с.п., с. Короськово</t>
  </si>
  <si>
    <t>Мартынова С.И.</t>
  </si>
  <si>
    <t>ОПС Кривчиково</t>
  </si>
  <si>
    <t>Максимович Г.М.</t>
  </si>
  <si>
    <t>Кромской р-н, Кривчиковское с.п., д. Кривчиково</t>
  </si>
  <si>
    <t>ОПС Ретяжи</t>
  </si>
  <si>
    <t>Кромской р-н, Ретяжское с.п., с. Ретяжи</t>
  </si>
  <si>
    <t>Багрова И.Н.</t>
  </si>
  <si>
    <t>8(48643)21500</t>
  </si>
  <si>
    <t>ИП Егорцева И.С., ООО "Реал-Продукт"</t>
  </si>
  <si>
    <t>ИП Соломина А.П., ООО "СОМАН"</t>
  </si>
  <si>
    <t>ИП Бакин В.В., ООО Волна</t>
  </si>
  <si>
    <t>ИП Лежепеков Г.В., ООО "Тандем"</t>
  </si>
  <si>
    <t>ИП Власенко М.В., ООО "Викинг"</t>
  </si>
  <si>
    <t>ИП Петросян Л.А., ООО "Реал-Продукт"</t>
  </si>
  <si>
    <t>ИП Дигель Н.В., ООО "МегаТрейд"</t>
  </si>
  <si>
    <t>ИП Барабашов Ю.А., ООО "Реал-Продукт"</t>
  </si>
  <si>
    <t>ИП Бакин В.В., ООО "ВолНа"</t>
  </si>
  <si>
    <t>ИП Смагина Т.Г., ООО "Реал-Продукт"</t>
  </si>
  <si>
    <t>"Универсам"</t>
  </si>
  <si>
    <t>Орловская обл., п. Кромы, пл. Освобождения, д. 2</t>
  </si>
  <si>
    <t>ежедневно с 9-00 до 18-01</t>
  </si>
  <si>
    <t>Магазин "Оптимист"</t>
  </si>
  <si>
    <t>Канцелярские товары</t>
  </si>
  <si>
    <t>ИП Беляев Вадим Юрьевич, 89065715445</t>
  </si>
  <si>
    <t>п. Кромы</t>
  </si>
  <si>
    <t>Шаховское с.п.</t>
  </si>
  <si>
    <t>Кутафинское с.п.</t>
  </si>
  <si>
    <t>Б.Колчевское с.п.</t>
  </si>
  <si>
    <t>Стрелецкое с.п.</t>
  </si>
  <si>
    <t>Гуторовское с.п.</t>
  </si>
  <si>
    <t>Бельдяжское с.п.</t>
  </si>
  <si>
    <t>Гостомльское с.п.</t>
  </si>
  <si>
    <t>Апальковское с.п.</t>
  </si>
  <si>
    <t>Короськовское с.п.</t>
  </si>
  <si>
    <t>Ретяжское с.п.</t>
  </si>
  <si>
    <t>Б. Колчевское с.п.</t>
  </si>
  <si>
    <t>Красниковское с.п.</t>
  </si>
  <si>
    <t>Кривчиковское с.п.</t>
  </si>
  <si>
    <t>Кривчиковский с.п.</t>
  </si>
  <si>
    <t>Кромской район, д. Рассоховец</t>
  </si>
  <si>
    <t>Луканкин Алексей Владимирович</t>
  </si>
  <si>
    <t>Луканкин А.В. 89155089805</t>
  </si>
  <si>
    <t>Павлова Н.М., 84864320148</t>
  </si>
  <si>
    <t xml:space="preserve">Павлова Н.М., 84864320148, kromy.raypo@yandex.ru </t>
  </si>
  <si>
    <t>ООО "Торговый дом"</t>
  </si>
  <si>
    <t>301510, Тульская обл., Арсеньевский р-н, рабочий поселок Арсеньево, ул. Папанина, д. 4, пом. 53; г. Орел, ул. Полесская, д. 10</t>
  </si>
  <si>
    <t>Бычков В.Н., 9051669977</t>
  </si>
  <si>
    <t>Магазин "ПроБочка"</t>
  </si>
  <si>
    <t xml:space="preserve">п. Кромы, ул. 25 Октября, д. 49 </t>
  </si>
  <si>
    <t>Масалов А.В. 9066656666</t>
  </si>
  <si>
    <t>г. Орел, ул. Алроса, д. 295, кв. 4</t>
  </si>
  <si>
    <t>аренда у Московцевой</t>
  </si>
  <si>
    <t>84864321640,   s-pole@mail.ru</t>
  </si>
  <si>
    <t>Манохин И.А., 9606480001 orel@tekoplus.ru</t>
  </si>
  <si>
    <t>Показатели обеспечения доступности объектов для инвалидов и маломобильных групп населения</t>
  </si>
  <si>
    <t>наличие пандуса</t>
  </si>
  <si>
    <t>наличие кнопки вызова</t>
  </si>
  <si>
    <t>наличие парковочных мест для инвалидов</t>
  </si>
  <si>
    <t>оборудован тактильными средствами информации предназначенными для лиц с дифектами зрения и частично слуха</t>
  </si>
  <si>
    <t xml:space="preserve"> </t>
  </si>
  <si>
    <t>ИП Головкова С.В.</t>
  </si>
  <si>
    <t>Головкова Светлана Васильевна, 9606533707</t>
  </si>
  <si>
    <t>Головкова С.В., 9606533707</t>
  </si>
  <si>
    <t>Кромское РАЙПО, Павлова Н.М., 84864320148</t>
  </si>
  <si>
    <t>Магазин "Бытовая техника"</t>
  </si>
  <si>
    <t>п. Кромы, ул. К. Маркса, д. 6</t>
  </si>
  <si>
    <t>ИП Козлов Игорь Александрович</t>
  </si>
  <si>
    <t>Козлов И.А. 89103030060</t>
  </si>
  <si>
    <t>ИП Болвинова Ольга Николаевна</t>
  </si>
  <si>
    <t>ежедневно с 9-00 до 18-00, выходной: воскресенье</t>
  </si>
  <si>
    <t>Магазин "Светлое Темное"</t>
  </si>
  <si>
    <t>Магазин "Текстиль PLUS"</t>
  </si>
  <si>
    <t>п. Кромы, ул. К. Маркса, д. 8</t>
  </si>
  <si>
    <t>ИП Ершов Алексей Николаевич</t>
  </si>
  <si>
    <t>Кромской р-н, д. Б. Драгунская</t>
  </si>
  <si>
    <t>Текстиль</t>
  </si>
  <si>
    <t>ежедневно с 10-00 до 18-00, выходной: воскресенье</t>
  </si>
  <si>
    <t>Магазин "ЭлиТпак"</t>
  </si>
  <si>
    <t>ИП Харламов М.В.</t>
  </si>
  <si>
    <t>Харламов М.В.</t>
  </si>
  <si>
    <t>г. орел</t>
  </si>
  <si>
    <t>Магазин "ИП Горячев В.В."</t>
  </si>
  <si>
    <t>Кромской район, д. Стрелецкая, д. 85а</t>
  </si>
  <si>
    <t>ИП Горячев Вячеслав Викторович</t>
  </si>
  <si>
    <t>ИП Горячев В.В., 89200844757</t>
  </si>
  <si>
    <t>Бабенцева Т.Ю., 89066605111</t>
  </si>
  <si>
    <t>Манько И.Н., 89051689990</t>
  </si>
  <si>
    <t>ежедневно с 8-00 до 20-00, выходной - воскресенье</t>
  </si>
  <si>
    <t>Солодова Н.Н., 89065715556</t>
  </si>
  <si>
    <t>ежедневно с 9-00 до 16-00, выходной - воскресенье</t>
  </si>
  <si>
    <t>ИП Лазутин В.А.</t>
  </si>
  <si>
    <t>ИП Лазутина В.А.</t>
  </si>
  <si>
    <t>Давыдов Вл. Вл. 84864321707</t>
  </si>
  <si>
    <t>Давыдов В.В. kromy_moloko@mail.ru</t>
  </si>
  <si>
    <t>Рудаков А.Д. 9031138039</t>
  </si>
  <si>
    <t>Магазин "Дары моря"</t>
  </si>
  <si>
    <t>вторник-пятница с 9-00 до 16-50, суббота-воскресенье с 9-00 до 14-00 Выходной-Понедельник</t>
  </si>
  <si>
    <t>п. Кромы, ул. 25 Октября, д. 8Б</t>
  </si>
  <si>
    <t>ИП Коняшин К.П.</t>
  </si>
  <si>
    <t>г. Орел, ул. Горького, д. 122а</t>
  </si>
  <si>
    <t>Коняшин Константин Петрович</t>
  </si>
  <si>
    <t>Коняшин К.П. 9107488808</t>
  </si>
  <si>
    <t>продтовары без алкоголя</t>
  </si>
  <si>
    <t>с 9 до 18, воскресенье с 9-00 до 17-00</t>
  </si>
  <si>
    <t>п. Кромы, ул. 25 Октября, д. 8</t>
  </si>
  <si>
    <t>детские игрушки</t>
  </si>
  <si>
    <t>Магазин "Игрушки"</t>
  </si>
  <si>
    <t>Павильон "Теле2"</t>
  </si>
  <si>
    <t>Магазин № 31</t>
  </si>
  <si>
    <t>Кромской район, д. Апальково</t>
  </si>
  <si>
    <t>Картохина С.В.</t>
  </si>
  <si>
    <t>ежедневно с 9.00 до 17.00</t>
  </si>
  <si>
    <t>Магазин "Ярмарка"</t>
  </si>
  <si>
    <t>Колчева Н.М.</t>
  </si>
  <si>
    <t>Продовольственные и непродовольственная группа товаров</t>
  </si>
  <si>
    <t>ежедневно с 8.00 до 20.00</t>
  </si>
  <si>
    <t>Павильон "Церковная лавка"</t>
  </si>
  <si>
    <t>Церковная утварь</t>
  </si>
  <si>
    <t>с 8-00 до 20-00</t>
  </si>
  <si>
    <t>с 9-00 до 15-00</t>
  </si>
  <si>
    <t>п. Кромы, площадь Базарная</t>
  </si>
  <si>
    <t>ИП Федосов А.И.</t>
  </si>
  <si>
    <t>Павильон "МТС"</t>
  </si>
  <si>
    <t>ООО "Т2 Мобайл" Степкин А.И.</t>
  </si>
  <si>
    <t>МПРО ПРИХОД СВЯТО-НИКОЛЬСКОГО ХРАМА ПОСЕЛКА КРОМЫ ОРЛОВСКОЙ ОБЛАСТИ ОРЛОВСКО-ЛИВЕНСКОЙ ЕПАРХИИ РУССКОЙ ПРАВОСЛАВНОЙ ЦЕРКВИ</t>
  </si>
  <si>
    <t>ООО "Сеть "Связной"</t>
  </si>
  <si>
    <t>п. Кромы, ул. 25 Октября, 39</t>
  </si>
  <si>
    <t>Овощи, фрукты, орехи</t>
  </si>
  <si>
    <t>Щелоков Александр Сергеевич</t>
  </si>
  <si>
    <t>ИП Смагин М.А., sma07111988@yandex.ru</t>
  </si>
  <si>
    <t>Смагин М.А.</t>
  </si>
  <si>
    <t>Магазин "Канцтовары"</t>
  </si>
  <si>
    <t>ИП  Карачевская А.И.</t>
  </si>
  <si>
    <t xml:space="preserve">п. Кромы, </t>
  </si>
  <si>
    <t>ИП Карачевская Алена Игоревна, 89102072948</t>
  </si>
  <si>
    <t>Канцелярские товары, текстиль</t>
  </si>
  <si>
    <t>Ежедневно с 9-00 до 17-00</t>
  </si>
  <si>
    <t>Магазин "Рыбалка"</t>
  </si>
  <si>
    <t>ИП Мартынова С.И.</t>
  </si>
  <si>
    <t>Орловская обл., п. Кромы</t>
  </si>
  <si>
    <t>Пода Е.В., 9102654309 (арендодатель)</t>
  </si>
  <si>
    <t>ИП Мартынова С.И. 89192059140</t>
  </si>
  <si>
    <t>Товары для рыбалуи и сопотствующие товары</t>
  </si>
  <si>
    <t>Кромской район, с. Шахово, ул. Свободы, д. 11</t>
  </si>
  <si>
    <t>п. Кромы, ул. 25 Октября, д.3</t>
  </si>
  <si>
    <t>Киоск Знаменского СГЦ</t>
  </si>
  <si>
    <t>ООО "Макстер"</t>
  </si>
  <si>
    <t>ООО "Макстер", Соловьев И.И., 84864320148, Орловская область, г. Орел, ул. Ливенская, д. 3</t>
  </si>
  <si>
    <t>свинина охлажденная, субпродукты свиные</t>
  </si>
  <si>
    <t>ежедневно с 8-00 до 20-00, вторник, четверг</t>
  </si>
  <si>
    <t>ИП Кузнецова Т.А., 9103000075</t>
  </si>
  <si>
    <t>на 31.12.2019</t>
  </si>
  <si>
    <t>п. Кромы, пер. Вожовский; п. Кромы, Базарная площадь; п. Кромы, пер. Вожовский, д. 19</t>
  </si>
  <si>
    <t>Орловская обл., Кромской район, п. Успенский</t>
  </si>
  <si>
    <t>Морозов Р.Э. 89606513681</t>
  </si>
  <si>
    <t>ИП Сыромятников А.А.</t>
  </si>
  <si>
    <t>Варсегова Татьяна Сергеевна</t>
  </si>
  <si>
    <t>Магазин "Гараж"</t>
  </si>
  <si>
    <t>ИП Клюшников Дм. Ник.</t>
  </si>
  <si>
    <t>Орловская обл., Кромской район</t>
  </si>
  <si>
    <t>Клюшников Дмитрий Николаевич</t>
  </si>
  <si>
    <t>Автозапчасти и сопутствующие товары</t>
  </si>
  <si>
    <t>ежедневно с 9-00 до 18-00, суббота, воскресенье с 9-00 до 17-00</t>
  </si>
  <si>
    <t>Павильон "Фруктовый рай"</t>
  </si>
  <si>
    <t>ИП Рустамов Хушвакт Рустамович</t>
  </si>
  <si>
    <t>Мясная продукция, бакалея</t>
  </si>
  <si>
    <t>Киоск "Комбикорм"</t>
  </si>
  <si>
    <t>Орловская обл., Кромской р-н, д. Черкасская, ул. Розы Люксембург</t>
  </si>
  <si>
    <t>Комбикорма</t>
  </si>
  <si>
    <t>ИП Медведев Игорь Викторович, Тел. 89803630795</t>
  </si>
  <si>
    <t>Павильон "Рыболовные товары"</t>
  </si>
  <si>
    <t>ИП Карнаухов Леонид Григорьевич, 89107478179</t>
  </si>
  <si>
    <t>Рыболовные товары</t>
  </si>
  <si>
    <t>ИП Теплова Наталья Анатольевна, 89051662882</t>
  </si>
  <si>
    <t>Кромской район, п. Успенский, д. 27/2</t>
  </si>
  <si>
    <t>Кромской район, д. Голубица</t>
  </si>
  <si>
    <t>ИП Торопова Татьяна Владимировна</t>
  </si>
  <si>
    <t>Магазин "Окна"</t>
  </si>
  <si>
    <t>п. Кромы, ул. К. Маркса, д. 9</t>
  </si>
  <si>
    <t>ИП Романов Р.Л.</t>
  </si>
  <si>
    <t>Романов Р.Л.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</si>
</sst>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0" fontId="9" fillId="0" borderId="11" xfId="0" applyFont="1" applyBorder="1" applyAlignment="1" applyProtection="1">
      <alignment/>
      <protection hidden="1" locked="0"/>
    </xf>
    <xf numFmtId="0" fontId="9" fillId="0" borderId="12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wrapText="1"/>
      <protection hidden="1"/>
    </xf>
    <xf numFmtId="0" fontId="9" fillId="34" borderId="11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33" borderId="13" xfId="0" applyFont="1" applyFill="1" applyBorder="1" applyAlignment="1" applyProtection="1">
      <alignment wrapText="1"/>
      <protection hidden="1"/>
    </xf>
    <xf numFmtId="0" fontId="9" fillId="35" borderId="12" xfId="0" applyFont="1" applyFill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0" fontId="9" fillId="33" borderId="10" xfId="0" applyFont="1" applyFill="1" applyBorder="1" applyAlignment="1" applyProtection="1">
      <alignment wrapText="1"/>
      <protection hidden="1"/>
    </xf>
    <xf numFmtId="0" fontId="9" fillId="33" borderId="10" xfId="0" applyFont="1" applyFill="1" applyBorder="1" applyAlignment="1" applyProtection="1">
      <alignment horizontal="center" wrapText="1"/>
      <protection hidden="1"/>
    </xf>
    <xf numFmtId="0" fontId="9" fillId="34" borderId="15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36" borderId="16" xfId="0" applyFont="1" applyFill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 wrapText="1"/>
      <protection hidden="1" locked="0"/>
    </xf>
    <xf numFmtId="0" fontId="9" fillId="35" borderId="16" xfId="0" applyFont="1" applyFill="1" applyBorder="1" applyAlignment="1" applyProtection="1">
      <alignment wrapText="1"/>
      <protection hidden="1" locked="0"/>
    </xf>
    <xf numFmtId="0" fontId="6" fillId="35" borderId="10" xfId="0" applyFont="1" applyFill="1" applyBorder="1" applyAlignment="1" applyProtection="1">
      <alignment wrapText="1"/>
      <protection hidden="1" locked="0"/>
    </xf>
    <xf numFmtId="0" fontId="9" fillId="35" borderId="11" xfId="0" applyFont="1" applyFill="1" applyBorder="1" applyAlignment="1" applyProtection="1">
      <alignment wrapText="1"/>
      <protection hidden="1" locked="0"/>
    </xf>
    <xf numFmtId="0" fontId="9" fillId="33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9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35" borderId="10" xfId="0" applyFont="1" applyFill="1" applyBorder="1" applyAlignment="1" applyProtection="1">
      <alignment wrapText="1"/>
      <protection locked="0"/>
    </xf>
    <xf numFmtId="0" fontId="9" fillId="35" borderId="16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34" borderId="10" xfId="0" applyFont="1" applyFill="1" applyBorder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wrapText="1"/>
      <protection hidden="1"/>
    </xf>
    <xf numFmtId="0" fontId="9" fillId="34" borderId="16" xfId="0" applyFont="1" applyFill="1" applyBorder="1" applyAlignment="1" applyProtection="1">
      <alignment horizontal="center" wrapText="1"/>
      <protection hidden="1"/>
    </xf>
    <xf numFmtId="0" fontId="6" fillId="36" borderId="16" xfId="0" applyFont="1" applyFill="1" applyBorder="1" applyAlignment="1" applyProtection="1">
      <alignment wrapText="1"/>
      <protection hidden="1"/>
    </xf>
    <xf numFmtId="0" fontId="6" fillId="0" borderId="17" xfId="0" applyFont="1" applyBorder="1" applyAlignment="1" applyProtection="1">
      <alignment wrapText="1"/>
      <protection locked="0"/>
    </xf>
    <xf numFmtId="0" fontId="6" fillId="36" borderId="10" xfId="0" applyFont="1" applyFill="1" applyBorder="1" applyAlignment="1" applyProtection="1">
      <alignment wrapText="1"/>
      <protection hidden="1"/>
    </xf>
    <xf numFmtId="0" fontId="9" fillId="36" borderId="10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 locked="0"/>
    </xf>
    <xf numFmtId="0" fontId="6" fillId="35" borderId="10" xfId="0" applyFont="1" applyFill="1" applyBorder="1" applyAlignment="1" applyProtection="1">
      <alignment wrapText="1"/>
      <protection locked="0"/>
    </xf>
    <xf numFmtId="0" fontId="9" fillId="35" borderId="1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wrapText="1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7" fillId="34" borderId="10" xfId="0" applyFont="1" applyFill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vertical="center" wrapText="1"/>
      <protection hidden="1"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36" borderId="10" xfId="0" applyFont="1" applyFill="1" applyBorder="1" applyAlignment="1" applyProtection="1">
      <alignment horizontal="center" wrapText="1"/>
      <protection hidden="1"/>
    </xf>
    <xf numFmtId="0" fontId="8" fillId="36" borderId="10" xfId="0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wrapText="1"/>
      <protection hidden="1"/>
    </xf>
    <xf numFmtId="0" fontId="9" fillId="33" borderId="16" xfId="0" applyFont="1" applyFill="1" applyBorder="1" applyAlignment="1" applyProtection="1">
      <alignment vertical="top"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33" borderId="16" xfId="0" applyFont="1" applyFill="1" applyBorder="1" applyAlignment="1" applyProtection="1">
      <alignment wrapText="1"/>
      <protection hidden="1"/>
    </xf>
    <xf numFmtId="0" fontId="9" fillId="33" borderId="16" xfId="0" applyFont="1" applyFill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16" fillId="0" borderId="0" xfId="0" applyFont="1" applyAlignment="1" applyProtection="1">
      <alignment wrapText="1"/>
      <protection hidden="1"/>
    </xf>
    <xf numFmtId="0" fontId="6" fillId="36" borderId="18" xfId="0" applyFont="1" applyFill="1" applyBorder="1" applyAlignment="1" applyProtection="1">
      <alignment wrapText="1"/>
      <protection hidden="1"/>
    </xf>
    <xf numFmtId="0" fontId="6" fillId="0" borderId="19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wrapText="1"/>
      <protection hidden="1"/>
    </xf>
    <xf numFmtId="0" fontId="15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5" fillId="36" borderId="10" xfId="0" applyFont="1" applyFill="1" applyBorder="1" applyAlignment="1" applyProtection="1">
      <alignment wrapText="1"/>
      <protection hidden="1"/>
    </xf>
    <xf numFmtId="0" fontId="15" fillId="36" borderId="11" xfId="0" applyFont="1" applyFill="1" applyBorder="1" applyAlignment="1" applyProtection="1">
      <alignment wrapText="1"/>
      <protection hidden="1"/>
    </xf>
    <xf numFmtId="0" fontId="15" fillId="36" borderId="15" xfId="0" applyFont="1" applyFill="1" applyBorder="1" applyAlignment="1" applyProtection="1">
      <alignment wrapText="1"/>
      <protection hidden="1"/>
    </xf>
    <xf numFmtId="0" fontId="15" fillId="36" borderId="1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hidden="1" locked="0"/>
    </xf>
    <xf numFmtId="0" fontId="9" fillId="0" borderId="14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 wrapText="1"/>
      <protection locked="0"/>
    </xf>
    <xf numFmtId="0" fontId="9" fillId="34" borderId="12" xfId="0" applyFont="1" applyFill="1" applyBorder="1" applyAlignment="1" applyProtection="1">
      <alignment horizontal="right" wrapText="1"/>
      <protection hidden="1"/>
    </xf>
    <xf numFmtId="0" fontId="9" fillId="0" borderId="12" xfId="0" applyFont="1" applyBorder="1" applyAlignment="1" applyProtection="1">
      <alignment horizontal="right"/>
      <protection hidden="1" locked="0"/>
    </xf>
    <xf numFmtId="0" fontId="9" fillId="0" borderId="16" xfId="0" applyFont="1" applyBorder="1" applyAlignment="1" applyProtection="1">
      <alignment horizontal="right" wrapText="1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0" fontId="9" fillId="0" borderId="12" xfId="0" applyFont="1" applyBorder="1" applyAlignment="1" applyProtection="1">
      <alignment horizontal="right"/>
      <protection hidden="1"/>
    </xf>
    <xf numFmtId="0" fontId="9" fillId="34" borderId="10" xfId="0" applyFont="1" applyFill="1" applyBorder="1" applyAlignment="1" applyProtection="1">
      <alignment horizontal="right" wrapText="1"/>
      <protection hidden="1"/>
    </xf>
    <xf numFmtId="0" fontId="9" fillId="0" borderId="17" xfId="0" applyFont="1" applyBorder="1" applyAlignment="1" applyProtection="1">
      <alignment horizontal="right" wrapText="1"/>
      <protection locked="0"/>
    </xf>
    <xf numFmtId="0" fontId="15" fillId="36" borderId="12" xfId="0" applyFont="1" applyFill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/>
      <protection hidden="1"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33" borderId="10" xfId="53" applyFont="1" applyFill="1" applyBorder="1" applyAlignment="1" applyProtection="1">
      <alignment horizontal="center" vertical="center" wrapText="1"/>
      <protection hidden="1" locked="0"/>
    </xf>
    <xf numFmtId="0" fontId="9" fillId="33" borderId="0" xfId="53" applyFont="1" applyFill="1" applyAlignment="1" applyProtection="1">
      <alignment horizontal="center" vertical="center" wrapText="1"/>
      <protection hidden="1" locked="0"/>
    </xf>
    <xf numFmtId="0" fontId="9" fillId="33" borderId="10" xfId="53" applyFont="1" applyFill="1" applyBorder="1" applyAlignment="1" applyProtection="1">
      <alignment horizontal="center" wrapText="1"/>
      <protection hidden="1" locked="0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right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8" fillId="33" borderId="10" xfId="53" applyFont="1" applyFill="1" applyBorder="1" applyAlignment="1" applyProtection="1">
      <alignment horizontal="center" vertical="center"/>
      <protection hidden="1" locked="0"/>
    </xf>
    <xf numFmtId="0" fontId="8" fillId="33" borderId="10" xfId="53" applyFont="1" applyFill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10" xfId="0" applyFont="1" applyBorder="1" applyAlignment="1" applyProtection="1">
      <alignment/>
      <protection hidden="1" locked="0"/>
    </xf>
    <xf numFmtId="0" fontId="9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1" xfId="0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37" borderId="10" xfId="0" applyFont="1" applyFill="1" applyBorder="1" applyAlignment="1" applyProtection="1">
      <alignment horizontal="right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left" wrapText="1"/>
      <protection locked="0"/>
    </xf>
    <xf numFmtId="0" fontId="4" fillId="37" borderId="10" xfId="0" applyFont="1" applyFill="1" applyBorder="1" applyAlignment="1" applyProtection="1">
      <alignment horizontal="right" wrapText="1"/>
      <protection locked="0"/>
    </xf>
    <xf numFmtId="0" fontId="20" fillId="37" borderId="10" xfId="0" applyFont="1" applyFill="1" applyBorder="1" applyAlignment="1" applyProtection="1">
      <alignment wrapText="1"/>
      <protection locked="0"/>
    </xf>
    <xf numFmtId="0" fontId="20" fillId="37" borderId="11" xfId="0" applyFont="1" applyFill="1" applyBorder="1" applyAlignment="1" applyProtection="1">
      <alignment wrapText="1"/>
      <protection locked="0"/>
    </xf>
    <xf numFmtId="0" fontId="20" fillId="37" borderId="10" xfId="0" applyFont="1" applyFill="1" applyBorder="1" applyAlignment="1" applyProtection="1">
      <alignment/>
      <protection locked="0"/>
    </xf>
    <xf numFmtId="0" fontId="20" fillId="37" borderId="0" xfId="0" applyFont="1" applyFill="1" applyAlignment="1" applyProtection="1">
      <alignment/>
      <protection locked="0"/>
    </xf>
    <xf numFmtId="0" fontId="9" fillId="37" borderId="10" xfId="0" applyFont="1" applyFill="1" applyBorder="1" applyAlignment="1" applyProtection="1">
      <alignment horizontal="right"/>
      <protection locked="0"/>
    </xf>
    <xf numFmtId="0" fontId="9" fillId="37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 horizontal="left" wrapText="1"/>
      <protection locked="0"/>
    </xf>
    <xf numFmtId="0" fontId="9" fillId="37" borderId="16" xfId="0" applyFont="1" applyFill="1" applyBorder="1" applyAlignment="1" applyProtection="1">
      <alignment horizontal="left" wrapText="1"/>
      <protection locked="0"/>
    </xf>
    <xf numFmtId="0" fontId="9" fillId="37" borderId="16" xfId="0" applyFont="1" applyFill="1" applyBorder="1" applyAlignment="1" applyProtection="1">
      <alignment horizontal="right" wrapText="1"/>
      <protection locked="0"/>
    </xf>
    <xf numFmtId="0" fontId="9" fillId="37" borderId="18" xfId="0" applyFont="1" applyFill="1" applyBorder="1" applyAlignment="1" applyProtection="1">
      <alignment horizontal="left" wrapText="1"/>
      <protection locked="0"/>
    </xf>
    <xf numFmtId="0" fontId="6" fillId="37" borderId="10" xfId="0" applyFont="1" applyFill="1" applyBorder="1" applyAlignment="1" applyProtection="1">
      <alignment wrapText="1"/>
      <protection locked="0"/>
    </xf>
    <xf numFmtId="0" fontId="6" fillId="37" borderId="11" xfId="0" applyFont="1" applyFill="1" applyBorder="1" applyAlignment="1" applyProtection="1">
      <alignment wrapText="1"/>
      <protection locked="0"/>
    </xf>
    <xf numFmtId="0" fontId="6" fillId="37" borderId="10" xfId="0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locked="0"/>
    </xf>
    <xf numFmtId="0" fontId="9" fillId="37" borderId="10" xfId="0" applyFont="1" applyFill="1" applyBorder="1" applyAlignment="1" applyProtection="1">
      <alignment wrapText="1"/>
      <protection locked="0"/>
    </xf>
    <xf numFmtId="0" fontId="9" fillId="37" borderId="16" xfId="0" applyFont="1" applyFill="1" applyBorder="1" applyAlignment="1" applyProtection="1">
      <alignment wrapText="1"/>
      <protection locked="0"/>
    </xf>
    <xf numFmtId="0" fontId="9" fillId="37" borderId="18" xfId="0" applyFont="1" applyFill="1" applyBorder="1" applyAlignment="1" applyProtection="1">
      <alignment wrapText="1"/>
      <protection locked="0"/>
    </xf>
    <xf numFmtId="0" fontId="4" fillId="37" borderId="10" xfId="0" applyFont="1" applyFill="1" applyBorder="1" applyAlignment="1" applyProtection="1">
      <alignment wrapText="1"/>
      <protection locked="0"/>
    </xf>
    <xf numFmtId="0" fontId="4" fillId="37" borderId="16" xfId="0" applyFont="1" applyFill="1" applyBorder="1" applyAlignment="1" applyProtection="1">
      <alignment wrapText="1"/>
      <protection locked="0"/>
    </xf>
    <xf numFmtId="0" fontId="4" fillId="37" borderId="16" xfId="0" applyFont="1" applyFill="1" applyBorder="1" applyAlignment="1" applyProtection="1">
      <alignment horizontal="right" wrapText="1"/>
      <protection locked="0"/>
    </xf>
    <xf numFmtId="0" fontId="4" fillId="37" borderId="18" xfId="0" applyFont="1" applyFill="1" applyBorder="1" applyAlignment="1" applyProtection="1">
      <alignment wrapText="1"/>
      <protection locked="0"/>
    </xf>
    <xf numFmtId="0" fontId="9" fillId="38" borderId="10" xfId="0" applyFont="1" applyFill="1" applyBorder="1" applyAlignment="1" applyProtection="1">
      <alignment/>
      <protection locked="0"/>
    </xf>
    <xf numFmtId="0" fontId="9" fillId="38" borderId="10" xfId="0" applyFont="1" applyFill="1" applyBorder="1" applyAlignment="1" applyProtection="1">
      <alignment wrapText="1"/>
      <protection locked="0"/>
    </xf>
    <xf numFmtId="0" fontId="9" fillId="38" borderId="16" xfId="0" applyFont="1" applyFill="1" applyBorder="1" applyAlignment="1" applyProtection="1">
      <alignment wrapText="1"/>
      <protection locked="0"/>
    </xf>
    <xf numFmtId="0" fontId="9" fillId="38" borderId="16" xfId="0" applyFont="1" applyFill="1" applyBorder="1" applyAlignment="1" applyProtection="1">
      <alignment horizontal="right" wrapText="1"/>
      <protection locked="0"/>
    </xf>
    <xf numFmtId="0" fontId="9" fillId="38" borderId="18" xfId="0" applyFont="1" applyFill="1" applyBorder="1" applyAlignment="1" applyProtection="1">
      <alignment wrapText="1"/>
      <protection locked="0"/>
    </xf>
    <xf numFmtId="0" fontId="6" fillId="38" borderId="10" xfId="0" applyFont="1" applyFill="1" applyBorder="1" applyAlignment="1" applyProtection="1">
      <alignment wrapText="1"/>
      <protection locked="0"/>
    </xf>
    <xf numFmtId="0" fontId="6" fillId="38" borderId="11" xfId="0" applyFont="1" applyFill="1" applyBorder="1" applyAlignment="1" applyProtection="1">
      <alignment wrapText="1"/>
      <protection locked="0"/>
    </xf>
    <xf numFmtId="0" fontId="6" fillId="38" borderId="10" xfId="0" applyFont="1" applyFill="1" applyBorder="1" applyAlignment="1" applyProtection="1">
      <alignment/>
      <protection locked="0"/>
    </xf>
    <xf numFmtId="0" fontId="6" fillId="38" borderId="0" xfId="0" applyFont="1" applyFill="1" applyAlignment="1" applyProtection="1">
      <alignment/>
      <protection locked="0"/>
    </xf>
    <xf numFmtId="0" fontId="9" fillId="38" borderId="10" xfId="0" applyFont="1" applyFill="1" applyBorder="1" applyAlignment="1" applyProtection="1">
      <alignment horizontal="right" wrapText="1"/>
      <protection locked="0"/>
    </xf>
    <xf numFmtId="0" fontId="9" fillId="38" borderId="11" xfId="0" applyFont="1" applyFill="1" applyBorder="1" applyAlignment="1" applyProtection="1">
      <alignment wrapText="1"/>
      <protection locked="0"/>
    </xf>
    <xf numFmtId="0" fontId="6" fillId="38" borderId="0" xfId="0" applyFont="1" applyFill="1" applyAlignment="1" applyProtection="1">
      <alignment wrapText="1"/>
      <protection locked="0"/>
    </xf>
    <xf numFmtId="0" fontId="9" fillId="39" borderId="10" xfId="0" applyFont="1" applyFill="1" applyBorder="1" applyAlignment="1" applyProtection="1">
      <alignment wrapText="1"/>
      <protection locked="0"/>
    </xf>
    <xf numFmtId="0" fontId="9" fillId="39" borderId="11" xfId="0" applyFont="1" applyFill="1" applyBorder="1" applyAlignment="1" applyProtection="1">
      <alignment wrapText="1"/>
      <protection locked="0"/>
    </xf>
    <xf numFmtId="0" fontId="6" fillId="39" borderId="10" xfId="0" applyFont="1" applyFill="1" applyBorder="1" applyAlignment="1" applyProtection="1">
      <alignment wrapText="1"/>
      <protection locked="0"/>
    </xf>
    <xf numFmtId="0" fontId="6" fillId="39" borderId="11" xfId="0" applyFont="1" applyFill="1" applyBorder="1" applyAlignment="1" applyProtection="1">
      <alignment wrapText="1"/>
      <protection locked="0"/>
    </xf>
    <xf numFmtId="0" fontId="6" fillId="39" borderId="0" xfId="0" applyFont="1" applyFill="1" applyAlignment="1" applyProtection="1">
      <alignment wrapText="1"/>
      <protection locked="0"/>
    </xf>
    <xf numFmtId="0" fontId="9" fillId="39" borderId="17" xfId="0" applyFont="1" applyFill="1" applyBorder="1" applyAlignment="1" applyProtection="1">
      <alignment wrapText="1"/>
      <protection locked="0"/>
    </xf>
    <xf numFmtId="0" fontId="9" fillId="39" borderId="19" xfId="0" applyFont="1" applyFill="1" applyBorder="1" applyAlignment="1" applyProtection="1">
      <alignment wrapText="1"/>
      <protection locked="0"/>
    </xf>
    <xf numFmtId="0" fontId="6" fillId="39" borderId="17" xfId="0" applyFont="1" applyFill="1" applyBorder="1" applyAlignment="1" applyProtection="1">
      <alignment wrapText="1"/>
      <protection locked="0"/>
    </xf>
    <xf numFmtId="0" fontId="6" fillId="39" borderId="19" xfId="0" applyFont="1" applyFill="1" applyBorder="1" applyAlignment="1" applyProtection="1">
      <alignment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21" xfId="0" applyFont="1" applyFill="1" applyBorder="1" applyAlignment="1" applyProtection="1">
      <alignment horizontal="center" vertical="center" wrapText="1"/>
      <protection hidden="1"/>
    </xf>
    <xf numFmtId="0" fontId="9" fillId="33" borderId="20" xfId="0" applyFont="1" applyFill="1" applyBorder="1" applyAlignment="1" applyProtection="1">
      <alignment horizontal="center" vertical="center" wrapText="1"/>
      <protection hidden="1"/>
    </xf>
    <xf numFmtId="0" fontId="9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2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textRotation="90" wrapText="1"/>
      <protection hidden="1"/>
    </xf>
    <xf numFmtId="0" fontId="9" fillId="33" borderId="24" xfId="0" applyFont="1" applyFill="1" applyBorder="1" applyAlignment="1" applyProtection="1">
      <alignment horizontal="center" textRotation="90" wrapText="1"/>
      <protection hidden="1"/>
    </xf>
    <xf numFmtId="0" fontId="9" fillId="33" borderId="17" xfId="0" applyFont="1" applyFill="1" applyBorder="1" applyAlignment="1" applyProtection="1">
      <alignment horizontal="center" textRotation="90" wrapText="1"/>
      <protection hidden="1"/>
    </xf>
    <xf numFmtId="0" fontId="9" fillId="33" borderId="16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0" fontId="9" fillId="33" borderId="17" xfId="0" applyFont="1" applyFill="1" applyBorder="1" applyAlignment="1" applyProtection="1">
      <alignment horizontal="center" vertical="center" wrapText="1"/>
      <protection hidden="1"/>
    </xf>
    <xf numFmtId="14" fontId="8" fillId="0" borderId="14" xfId="0" applyNumberFormat="1" applyFont="1" applyBorder="1" applyAlignment="1" applyProtection="1">
      <alignment horizontal="center" vertical="center" wrapText="1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9" fillId="33" borderId="10" xfId="0" applyFont="1" applyFill="1" applyBorder="1" applyAlignment="1" applyProtection="1">
      <alignment horizontal="center" vertical="top"/>
      <protection hidden="1"/>
    </xf>
    <xf numFmtId="0" fontId="8" fillId="33" borderId="16" xfId="0" applyFont="1" applyFill="1" applyBorder="1" applyAlignment="1" applyProtection="1">
      <alignment horizontal="center" wrapText="1"/>
      <protection hidden="1"/>
    </xf>
    <xf numFmtId="0" fontId="8" fillId="33" borderId="24" xfId="0" applyFont="1" applyFill="1" applyBorder="1" applyAlignment="1" applyProtection="1">
      <alignment horizontal="center" wrapText="1"/>
      <protection hidden="1"/>
    </xf>
    <xf numFmtId="0" fontId="8" fillId="33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right" vertical="top"/>
      <protection hidden="1"/>
    </xf>
    <xf numFmtId="0" fontId="9" fillId="33" borderId="12" xfId="0" applyFont="1" applyFill="1" applyBorder="1" applyAlignment="1" applyProtection="1">
      <alignment horizontal="right" vertical="top"/>
      <protection hidden="1"/>
    </xf>
    <xf numFmtId="0" fontId="9" fillId="33" borderId="15" xfId="0" applyFont="1" applyFill="1" applyBorder="1" applyAlignment="1" applyProtection="1">
      <alignment horizontal="right" vertical="top"/>
      <protection hidden="1"/>
    </xf>
    <xf numFmtId="0" fontId="9" fillId="33" borderId="16" xfId="0" applyFont="1" applyFill="1" applyBorder="1" applyAlignment="1" applyProtection="1">
      <alignment horizontal="right" vertical="center" wrapText="1"/>
      <protection hidden="1"/>
    </xf>
    <xf numFmtId="0" fontId="9" fillId="33" borderId="24" xfId="0" applyFont="1" applyFill="1" applyBorder="1" applyAlignment="1" applyProtection="1">
      <alignment horizontal="right" vertical="center" wrapText="1"/>
      <protection hidden="1"/>
    </xf>
    <xf numFmtId="0" fontId="9" fillId="33" borderId="17" xfId="0" applyFont="1" applyFill="1" applyBorder="1" applyAlignment="1" applyProtection="1">
      <alignment horizontal="right" vertical="center" wrapText="1"/>
      <protection hidden="1"/>
    </xf>
    <xf numFmtId="0" fontId="8" fillId="33" borderId="10" xfId="0" applyFont="1" applyFill="1" applyBorder="1" applyAlignment="1" applyProtection="1">
      <alignment horizont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 applyProtection="1">
      <alignment horizontal="center" vertical="top" textRotation="88"/>
      <protection hidden="1"/>
    </xf>
    <xf numFmtId="0" fontId="9" fillId="33" borderId="24" xfId="0" applyFont="1" applyFill="1" applyBorder="1" applyAlignment="1" applyProtection="1">
      <alignment horizontal="center" vertical="top" textRotation="88"/>
      <protection hidden="1"/>
    </xf>
    <xf numFmtId="0" fontId="9" fillId="33" borderId="17" xfId="0" applyFont="1" applyFill="1" applyBorder="1" applyAlignment="1" applyProtection="1">
      <alignment horizontal="center" vertical="top" textRotation="88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 wrapText="1"/>
      <protection hidden="1"/>
    </xf>
    <xf numFmtId="0" fontId="9" fillId="33" borderId="18" xfId="53" applyFont="1" applyFill="1" applyBorder="1" applyAlignment="1" applyProtection="1">
      <alignment horizontal="center" vertical="center" wrapText="1"/>
      <protection hidden="1" locked="0"/>
    </xf>
    <xf numFmtId="0" fontId="9" fillId="33" borderId="25" xfId="53" applyFont="1" applyFill="1" applyBorder="1" applyAlignment="1" applyProtection="1">
      <alignment horizontal="center" vertical="center" wrapText="1"/>
      <protection hidden="1" locked="0"/>
    </xf>
    <xf numFmtId="0" fontId="9" fillId="33" borderId="20" xfId="53" applyFont="1" applyFill="1" applyBorder="1" applyAlignment="1" applyProtection="1">
      <alignment horizontal="center" vertical="center" wrapText="1"/>
      <protection hidden="1" locked="0"/>
    </xf>
    <xf numFmtId="0" fontId="9" fillId="33" borderId="0" xfId="53" applyFont="1" applyFill="1" applyBorder="1" applyAlignment="1" applyProtection="1">
      <alignment horizontal="center" vertical="center" wrapText="1"/>
      <protection hidden="1" locked="0"/>
    </xf>
    <xf numFmtId="0" fontId="9" fillId="33" borderId="19" xfId="53" applyFont="1" applyFill="1" applyBorder="1" applyAlignment="1" applyProtection="1">
      <alignment horizontal="center" vertical="center" wrapText="1"/>
      <protection hidden="1" locked="0"/>
    </xf>
    <xf numFmtId="0" fontId="9" fillId="33" borderId="14" xfId="53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9" fillId="33" borderId="18" xfId="0" applyFont="1" applyFill="1" applyBorder="1" applyAlignment="1" applyProtection="1">
      <alignment horizontal="center" vertical="top" textRotation="88" wrapText="1"/>
      <protection hidden="1"/>
    </xf>
    <xf numFmtId="0" fontId="9" fillId="33" borderId="20" xfId="0" applyFont="1" applyFill="1" applyBorder="1" applyAlignment="1" applyProtection="1">
      <alignment horizontal="center" vertical="top" textRotation="88" wrapText="1"/>
      <protection hidden="1"/>
    </xf>
    <xf numFmtId="0" fontId="9" fillId="33" borderId="19" xfId="0" applyFont="1" applyFill="1" applyBorder="1" applyAlignment="1" applyProtection="1">
      <alignment horizontal="center" vertical="top" textRotation="88" wrapText="1"/>
      <protection hidden="1"/>
    </xf>
    <xf numFmtId="0" fontId="9" fillId="33" borderId="16" xfId="0" applyFont="1" applyFill="1" applyBorder="1" applyAlignment="1" applyProtection="1">
      <alignment horizontal="center" vertical="center" wrapText="1"/>
      <protection hidden="1" locked="0"/>
    </xf>
    <xf numFmtId="0" fontId="9" fillId="33" borderId="24" xfId="0" applyFont="1" applyFill="1" applyBorder="1" applyAlignment="1" applyProtection="1">
      <alignment horizontal="center" vertical="center" wrapText="1"/>
      <protection hidden="1" locked="0"/>
    </xf>
    <xf numFmtId="0" fontId="9" fillId="33" borderId="17" xfId="0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Font="1" applyFill="1" applyBorder="1" applyAlignment="1" applyProtection="1">
      <alignment horizontal="right" wrapText="1"/>
      <protection hidden="1"/>
    </xf>
    <xf numFmtId="0" fontId="6" fillId="34" borderId="15" xfId="0" applyFont="1" applyFill="1" applyBorder="1" applyAlignment="1" applyProtection="1">
      <alignment horizontal="right" wrapText="1"/>
      <protection hidden="1"/>
    </xf>
    <xf numFmtId="0" fontId="9" fillId="34" borderId="15" xfId="0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 wrapText="1"/>
    </xf>
    <xf numFmtId="0" fontId="9" fillId="33" borderId="10" xfId="0" applyFont="1" applyFill="1" applyBorder="1" applyAlignment="1" applyProtection="1">
      <alignment horizontal="center" wrapText="1"/>
      <protection hidden="1"/>
    </xf>
    <xf numFmtId="0" fontId="9" fillId="33" borderId="16" xfId="0" applyFont="1" applyFill="1" applyBorder="1" applyAlignment="1" applyProtection="1">
      <alignment horizontal="center" textRotation="90" wrapText="1"/>
      <protection hidden="1" locked="0"/>
    </xf>
    <xf numFmtId="0" fontId="9" fillId="33" borderId="24" xfId="0" applyFont="1" applyFill="1" applyBorder="1" applyAlignment="1" applyProtection="1">
      <alignment horizontal="center" textRotation="90" wrapText="1"/>
      <protection hidden="1" locked="0"/>
    </xf>
    <xf numFmtId="0" fontId="9" fillId="33" borderId="17" xfId="0" applyFont="1" applyFill="1" applyBorder="1" applyAlignment="1" applyProtection="1">
      <alignment horizontal="center" textRotation="90" wrapText="1"/>
      <protection hidden="1" locked="0"/>
    </xf>
    <xf numFmtId="0" fontId="9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33" borderId="10" xfId="0" applyFont="1" applyFill="1" applyBorder="1" applyAlignment="1" applyProtection="1">
      <alignment horizontal="center" vertical="top" wrapText="1"/>
      <protection hidden="1" locked="0"/>
    </xf>
    <xf numFmtId="0" fontId="9" fillId="33" borderId="16" xfId="0" applyFont="1" applyFill="1" applyBorder="1" applyAlignment="1" applyProtection="1">
      <alignment horizontal="center" wrapText="1"/>
      <protection hidden="1"/>
    </xf>
    <xf numFmtId="0" fontId="9" fillId="33" borderId="24" xfId="0" applyFont="1" applyFill="1" applyBorder="1" applyAlignment="1" applyProtection="1">
      <alignment horizontal="center" wrapText="1"/>
      <protection hidden="1"/>
    </xf>
    <xf numFmtId="0" fontId="9" fillId="33" borderId="17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>
      <alignment horizontal="center" vertical="center" wrapText="1"/>
    </xf>
    <xf numFmtId="0" fontId="9" fillId="33" borderId="20" xfId="0" applyFont="1" applyFill="1" applyBorder="1" applyAlignment="1" applyProtection="1">
      <alignment horizontal="center" wrapText="1"/>
      <protection hidden="1"/>
    </xf>
    <xf numFmtId="0" fontId="9" fillId="33" borderId="0" xfId="0" applyFont="1" applyFill="1" applyBorder="1" applyAlignment="1" applyProtection="1">
      <alignment horizontal="center" wrapText="1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hidden="1"/>
    </xf>
    <xf numFmtId="0" fontId="15" fillId="33" borderId="24" xfId="0" applyFont="1" applyFill="1" applyBorder="1" applyAlignment="1" applyProtection="1">
      <alignment horizontal="center" vertical="center" wrapText="1"/>
      <protection hidden="1"/>
    </xf>
    <xf numFmtId="0" fontId="15" fillId="33" borderId="17" xfId="0" applyFont="1" applyFill="1" applyBorder="1" applyAlignment="1" applyProtection="1">
      <alignment horizontal="center" vertical="center" wrapText="1"/>
      <protection hidden="1"/>
    </xf>
    <xf numFmtId="0" fontId="15" fillId="33" borderId="16" xfId="0" applyFont="1" applyFill="1" applyBorder="1" applyAlignment="1" applyProtection="1">
      <alignment horizontal="center" wrapText="1"/>
      <protection hidden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9" fillId="33" borderId="15" xfId="0" applyFont="1" applyFill="1" applyBorder="1" applyAlignment="1" applyProtection="1">
      <alignment horizontal="center" vertical="center" wrapText="1"/>
      <protection hidden="1"/>
    </xf>
    <xf numFmtId="0" fontId="8" fillId="36" borderId="11" xfId="0" applyFont="1" applyFill="1" applyBorder="1" applyAlignment="1" applyProtection="1">
      <alignment horizontal="center" wrapText="1"/>
      <protection hidden="1"/>
    </xf>
    <xf numFmtId="0" fontId="8" fillId="36" borderId="15" xfId="0" applyFont="1" applyFill="1" applyBorder="1" applyAlignment="1" applyProtection="1">
      <alignment horizontal="center" wrapText="1"/>
      <protection hidden="1"/>
    </xf>
    <xf numFmtId="0" fontId="8" fillId="36" borderId="12" xfId="0" applyFont="1" applyFill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40" borderId="10" xfId="0" applyFont="1" applyFill="1" applyBorder="1" applyAlignment="1" applyProtection="1">
      <alignment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ислокация торговл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39"/>
  <sheetViews>
    <sheetView view="pageBreakPreview" zoomScaleSheetLayoutView="100" zoomScalePageLayoutView="0" workbookViewId="0" topLeftCell="A1">
      <pane xSplit="7" ySplit="11" topLeftCell="H1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D14" sqref="D14"/>
    </sheetView>
  </sheetViews>
  <sheetFormatPr defaultColWidth="9.140625" defaultRowHeight="15"/>
  <cols>
    <col min="1" max="1" width="4.57421875" style="11" customWidth="1"/>
    <col min="2" max="2" width="14.421875" style="11" customWidth="1"/>
    <col min="3" max="3" width="20.140625" style="11" customWidth="1"/>
    <col min="4" max="4" width="13.57421875" style="11" customWidth="1"/>
    <col min="5" max="5" width="12.421875" style="142" customWidth="1"/>
    <col min="6" max="6" width="15.57421875" style="11" customWidth="1"/>
    <col min="7" max="7" width="13.7109375" style="11" customWidth="1"/>
    <col min="8" max="8" width="13.421875" style="11" customWidth="1"/>
    <col min="9" max="9" width="12.7109375" style="11" customWidth="1"/>
    <col min="10" max="10" width="13.28125" style="11" customWidth="1"/>
    <col min="11" max="11" width="14.28125" style="11" customWidth="1"/>
    <col min="12" max="12" width="11.421875" style="11" customWidth="1"/>
    <col min="13" max="13" width="4.421875" style="11" customWidth="1"/>
    <col min="14" max="14" width="7.28125" style="11" customWidth="1"/>
    <col min="15" max="15" width="4.8515625" style="11" customWidth="1"/>
    <col min="16" max="16" width="4.421875" style="11" customWidth="1"/>
    <col min="17" max="17" width="5.7109375" style="11" customWidth="1"/>
    <col min="18" max="18" width="6.7109375" style="11" customWidth="1"/>
    <col min="19" max="19" width="13.7109375" style="11" customWidth="1"/>
    <col min="20" max="20" width="6.57421875" style="11" customWidth="1"/>
    <col min="21" max="21" width="12.57421875" style="11" customWidth="1"/>
    <col min="22" max="22" width="5.7109375" style="11" customWidth="1"/>
    <col min="23" max="23" width="7.00390625" style="11" customWidth="1"/>
    <col min="24" max="24" width="7.8515625" style="11" customWidth="1"/>
    <col min="25" max="25" width="9.140625" style="11" customWidth="1"/>
    <col min="26" max="26" width="14.00390625" style="11" customWidth="1"/>
    <col min="27" max="27" width="12.8515625" style="11" customWidth="1"/>
    <col min="28" max="28" width="14.7109375" style="11" customWidth="1"/>
    <col min="29" max="29" width="8.140625" style="11" customWidth="1"/>
    <col min="30" max="30" width="8.7109375" style="11" customWidth="1"/>
    <col min="31" max="31" width="16.28125" style="11" customWidth="1"/>
    <col min="32" max="32" width="20.140625" style="11" customWidth="1"/>
    <col min="33" max="35" width="9.140625" style="11" customWidth="1"/>
    <col min="36" max="36" width="13.00390625" style="11" customWidth="1"/>
    <col min="37" max="16384" width="9.140625" style="11" customWidth="1"/>
  </cols>
  <sheetData>
    <row r="1" spans="2:28" ht="18.75">
      <c r="B1" s="9"/>
      <c r="C1" s="9"/>
      <c r="D1" s="9"/>
      <c r="E1" s="13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254" t="s">
        <v>0</v>
      </c>
      <c r="V1" s="254"/>
      <c r="W1" s="254"/>
      <c r="X1" s="254"/>
      <c r="Y1" s="254"/>
      <c r="Z1" s="254"/>
      <c r="AA1" s="254"/>
      <c r="AB1" s="254"/>
    </row>
    <row r="2" spans="2:24" ht="18" customHeight="1">
      <c r="B2" s="255" t="s">
        <v>20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2:24" s="6" customFormat="1" ht="19.5" customHeight="1">
      <c r="B3" s="221" t="s">
        <v>212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spans="2:24" ht="18.75" customHeight="1">
      <c r="B4" s="228">
        <v>43830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36" ht="45" customHeight="1">
      <c r="A5" s="225" t="s">
        <v>1</v>
      </c>
      <c r="B5" s="225" t="s">
        <v>198</v>
      </c>
      <c r="C5" s="225" t="s">
        <v>69</v>
      </c>
      <c r="D5" s="225" t="s">
        <v>82</v>
      </c>
      <c r="E5" s="238" t="s">
        <v>175</v>
      </c>
      <c r="F5" s="225" t="s">
        <v>70</v>
      </c>
      <c r="G5" s="225" t="s">
        <v>72</v>
      </c>
      <c r="H5" s="225" t="s">
        <v>178</v>
      </c>
      <c r="I5" s="225" t="s">
        <v>176</v>
      </c>
      <c r="J5" s="225" t="s">
        <v>71</v>
      </c>
      <c r="K5" s="225" t="s">
        <v>77</v>
      </c>
      <c r="L5" s="225" t="s">
        <v>2</v>
      </c>
      <c r="M5" s="222" t="s">
        <v>80</v>
      </c>
      <c r="N5" s="222" t="s">
        <v>177</v>
      </c>
      <c r="O5" s="246" t="s">
        <v>3</v>
      </c>
      <c r="P5" s="247"/>
      <c r="Q5" s="246" t="s">
        <v>185</v>
      </c>
      <c r="R5" s="247"/>
      <c r="S5" s="242" t="s">
        <v>4</v>
      </c>
      <c r="T5" s="242"/>
      <c r="U5" s="242"/>
      <c r="V5" s="242"/>
      <c r="W5" s="242"/>
      <c r="X5" s="242"/>
      <c r="Y5" s="242" t="s">
        <v>76</v>
      </c>
      <c r="Z5" s="225" t="s">
        <v>78</v>
      </c>
      <c r="AA5" s="242" t="s">
        <v>79</v>
      </c>
      <c r="AB5" s="225" t="s">
        <v>208</v>
      </c>
      <c r="AC5" s="231" t="s">
        <v>134</v>
      </c>
      <c r="AD5" s="241" t="s">
        <v>131</v>
      </c>
      <c r="AE5" s="215" t="s">
        <v>209</v>
      </c>
      <c r="AF5" s="216"/>
      <c r="AG5" s="248" t="s">
        <v>804</v>
      </c>
      <c r="AH5" s="249"/>
      <c r="AI5" s="249"/>
      <c r="AJ5" s="249"/>
    </row>
    <row r="6" spans="1:36" ht="18.75" customHeight="1">
      <c r="A6" s="226"/>
      <c r="B6" s="226"/>
      <c r="C6" s="226"/>
      <c r="D6" s="226"/>
      <c r="E6" s="239"/>
      <c r="F6" s="226"/>
      <c r="G6" s="226"/>
      <c r="H6" s="226"/>
      <c r="I6" s="226"/>
      <c r="J6" s="226"/>
      <c r="K6" s="226"/>
      <c r="L6" s="226"/>
      <c r="M6" s="223"/>
      <c r="N6" s="223"/>
      <c r="O6" s="222" t="s">
        <v>10</v>
      </c>
      <c r="P6" s="222" t="s">
        <v>11</v>
      </c>
      <c r="Q6" s="243" t="s">
        <v>7</v>
      </c>
      <c r="R6" s="256" t="s">
        <v>9</v>
      </c>
      <c r="S6" s="235" t="s">
        <v>5</v>
      </c>
      <c r="T6" s="236"/>
      <c r="U6" s="237"/>
      <c r="V6" s="230" t="s">
        <v>6</v>
      </c>
      <c r="W6" s="230"/>
      <c r="X6" s="230"/>
      <c r="Y6" s="242"/>
      <c r="Z6" s="226"/>
      <c r="AA6" s="242"/>
      <c r="AB6" s="226"/>
      <c r="AC6" s="232"/>
      <c r="AD6" s="241"/>
      <c r="AE6" s="217"/>
      <c r="AF6" s="218"/>
      <c r="AG6" s="250"/>
      <c r="AH6" s="251"/>
      <c r="AI6" s="251"/>
      <c r="AJ6" s="251"/>
    </row>
    <row r="7" spans="1:36" ht="18.75">
      <c r="A7" s="226"/>
      <c r="B7" s="226"/>
      <c r="C7" s="226"/>
      <c r="D7" s="226"/>
      <c r="E7" s="239"/>
      <c r="F7" s="226"/>
      <c r="G7" s="226"/>
      <c r="H7" s="226"/>
      <c r="I7" s="226"/>
      <c r="J7" s="226"/>
      <c r="K7" s="226"/>
      <c r="L7" s="226"/>
      <c r="M7" s="223"/>
      <c r="N7" s="223"/>
      <c r="O7" s="223"/>
      <c r="P7" s="223"/>
      <c r="Q7" s="244"/>
      <c r="R7" s="257"/>
      <c r="S7" s="230" t="s">
        <v>7</v>
      </c>
      <c r="T7" s="230" t="s">
        <v>8</v>
      </c>
      <c r="U7" s="230"/>
      <c r="V7" s="230" t="s">
        <v>7</v>
      </c>
      <c r="W7" s="230" t="s">
        <v>8</v>
      </c>
      <c r="X7" s="230"/>
      <c r="Y7" s="242"/>
      <c r="Z7" s="226"/>
      <c r="AA7" s="242"/>
      <c r="AB7" s="226"/>
      <c r="AC7" s="232"/>
      <c r="AD7" s="241"/>
      <c r="AE7" s="219"/>
      <c r="AF7" s="220"/>
      <c r="AG7" s="252"/>
      <c r="AH7" s="253"/>
      <c r="AI7" s="253"/>
      <c r="AJ7" s="253"/>
    </row>
    <row r="8" spans="1:36" ht="54" customHeight="1">
      <c r="A8" s="227"/>
      <c r="B8" s="227"/>
      <c r="C8" s="227"/>
      <c r="D8" s="227"/>
      <c r="E8" s="240"/>
      <c r="F8" s="227"/>
      <c r="G8" s="227"/>
      <c r="H8" s="227"/>
      <c r="I8" s="227"/>
      <c r="J8" s="227"/>
      <c r="K8" s="227"/>
      <c r="L8" s="227"/>
      <c r="M8" s="224"/>
      <c r="N8" s="224"/>
      <c r="O8" s="224"/>
      <c r="P8" s="224"/>
      <c r="Q8" s="245"/>
      <c r="R8" s="258"/>
      <c r="S8" s="230"/>
      <c r="T8" s="97" t="s">
        <v>73</v>
      </c>
      <c r="U8" s="97" t="s">
        <v>74</v>
      </c>
      <c r="V8" s="230"/>
      <c r="W8" s="97" t="s">
        <v>73</v>
      </c>
      <c r="X8" s="97" t="s">
        <v>74</v>
      </c>
      <c r="Y8" s="242"/>
      <c r="Z8" s="226"/>
      <c r="AA8" s="242"/>
      <c r="AB8" s="227"/>
      <c r="AC8" s="233"/>
      <c r="AD8" s="241"/>
      <c r="AE8" s="111" t="s">
        <v>210</v>
      </c>
      <c r="AF8" s="111" t="s">
        <v>211</v>
      </c>
      <c r="AG8" s="144" t="s">
        <v>805</v>
      </c>
      <c r="AH8" s="145" t="s">
        <v>806</v>
      </c>
      <c r="AI8" s="144" t="s">
        <v>807</v>
      </c>
      <c r="AJ8" s="146" t="s">
        <v>808</v>
      </c>
    </row>
    <row r="9" spans="1:40" s="153" customFormat="1" ht="15.75">
      <c r="A9" s="147">
        <v>1</v>
      </c>
      <c r="B9" s="147">
        <v>2</v>
      </c>
      <c r="C9" s="147">
        <v>3</v>
      </c>
      <c r="D9" s="147">
        <v>4</v>
      </c>
      <c r="E9" s="148">
        <v>5</v>
      </c>
      <c r="F9" s="147">
        <v>6</v>
      </c>
      <c r="G9" s="147">
        <v>7</v>
      </c>
      <c r="H9" s="147">
        <v>8</v>
      </c>
      <c r="I9" s="147">
        <v>9</v>
      </c>
      <c r="J9" s="147">
        <v>10</v>
      </c>
      <c r="K9" s="147">
        <v>11</v>
      </c>
      <c r="L9" s="147">
        <v>12</v>
      </c>
      <c r="M9" s="147">
        <v>13</v>
      </c>
      <c r="N9" s="147">
        <v>14</v>
      </c>
      <c r="O9" s="147">
        <v>15</v>
      </c>
      <c r="P9" s="147">
        <v>16</v>
      </c>
      <c r="Q9" s="147">
        <v>17</v>
      </c>
      <c r="R9" s="147">
        <v>18</v>
      </c>
      <c r="S9" s="147">
        <v>19</v>
      </c>
      <c r="T9" s="147">
        <v>20</v>
      </c>
      <c r="U9" s="147">
        <v>21</v>
      </c>
      <c r="V9" s="147">
        <v>22</v>
      </c>
      <c r="W9" s="147">
        <v>23</v>
      </c>
      <c r="X9" s="147">
        <v>24</v>
      </c>
      <c r="Y9" s="147">
        <v>25</v>
      </c>
      <c r="Z9" s="147">
        <v>26</v>
      </c>
      <c r="AA9" s="147">
        <v>27</v>
      </c>
      <c r="AB9" s="147">
        <v>28</v>
      </c>
      <c r="AC9" s="147">
        <v>29</v>
      </c>
      <c r="AD9" s="147">
        <v>30</v>
      </c>
      <c r="AE9" s="147">
        <v>31</v>
      </c>
      <c r="AF9" s="149">
        <v>32</v>
      </c>
      <c r="AG9" s="150">
        <v>33</v>
      </c>
      <c r="AH9" s="151">
        <v>34</v>
      </c>
      <c r="AI9" s="150">
        <v>35</v>
      </c>
      <c r="AJ9" s="151">
        <v>36</v>
      </c>
      <c r="AK9" s="152"/>
      <c r="AL9" s="152"/>
      <c r="AM9" s="152"/>
      <c r="AN9" s="152"/>
    </row>
    <row r="10" spans="1:26" s="26" customFormat="1" ht="18.75">
      <c r="A10" s="98" t="s">
        <v>12</v>
      </c>
      <c r="B10" s="98"/>
      <c r="C10" s="99" t="s">
        <v>13</v>
      </c>
      <c r="D10" s="100"/>
      <c r="E10" s="132" t="s">
        <v>13</v>
      </c>
      <c r="F10" s="100"/>
      <c r="G10" s="100"/>
      <c r="H10" s="100" t="s">
        <v>13</v>
      </c>
      <c r="I10" s="100"/>
      <c r="J10" s="100"/>
      <c r="K10" s="100"/>
      <c r="L10" s="100" t="s">
        <v>13</v>
      </c>
      <c r="M10" s="100"/>
      <c r="N10" s="100"/>
      <c r="O10" s="100"/>
      <c r="P10" s="100"/>
      <c r="Q10" s="100"/>
      <c r="R10" s="24"/>
      <c r="S10" s="24" t="s">
        <v>13</v>
      </c>
      <c r="T10" s="24"/>
      <c r="U10" s="24"/>
      <c r="V10" s="24"/>
      <c r="W10" s="24"/>
      <c r="X10" s="234"/>
      <c r="Y10" s="234"/>
      <c r="Z10" s="25" t="s">
        <v>13</v>
      </c>
    </row>
    <row r="11" spans="1:36" s="6" customFormat="1" ht="63.75">
      <c r="A11" s="7">
        <v>1</v>
      </c>
      <c r="B11" s="7" t="s">
        <v>774</v>
      </c>
      <c r="C11" s="8" t="s">
        <v>213</v>
      </c>
      <c r="D11" s="8" t="s">
        <v>214</v>
      </c>
      <c r="E11" s="119" t="s">
        <v>215</v>
      </c>
      <c r="F11" s="8" t="s">
        <v>216</v>
      </c>
      <c r="G11" s="8" t="s">
        <v>217</v>
      </c>
      <c r="H11" s="8" t="s">
        <v>792</v>
      </c>
      <c r="I11" s="8" t="s">
        <v>218</v>
      </c>
      <c r="J11" s="8" t="s">
        <v>219</v>
      </c>
      <c r="K11" s="8" t="s">
        <v>220</v>
      </c>
      <c r="L11" s="8" t="s">
        <v>580</v>
      </c>
      <c r="M11" s="8"/>
      <c r="N11" s="8" t="s">
        <v>222</v>
      </c>
      <c r="O11" s="8"/>
      <c r="P11" s="8" t="s">
        <v>222</v>
      </c>
      <c r="Q11" s="8">
        <v>4</v>
      </c>
      <c r="R11" s="8">
        <v>4</v>
      </c>
      <c r="S11" s="8">
        <v>114.27</v>
      </c>
      <c r="T11" s="8">
        <v>114.27</v>
      </c>
      <c r="U11" s="8"/>
      <c r="V11" s="8">
        <v>78.65</v>
      </c>
      <c r="W11" s="8">
        <v>78.65</v>
      </c>
      <c r="X11" s="8"/>
      <c r="Y11" s="64" t="s">
        <v>223</v>
      </c>
      <c r="Z11" s="64" t="s">
        <v>224</v>
      </c>
      <c r="AA11" s="64" t="s">
        <v>225</v>
      </c>
      <c r="AB11" s="64" t="s">
        <v>222</v>
      </c>
      <c r="AC11" s="64" t="s">
        <v>222</v>
      </c>
      <c r="AD11" s="64" t="s">
        <v>222</v>
      </c>
      <c r="AE11" s="112"/>
      <c r="AF11" s="112"/>
      <c r="AG11" s="112" t="s">
        <v>222</v>
      </c>
      <c r="AH11" s="112" t="s">
        <v>222</v>
      </c>
      <c r="AI11" s="112"/>
      <c r="AJ11" s="112"/>
    </row>
    <row r="12" spans="1:36" s="6" customFormat="1" ht="63.75">
      <c r="A12" s="7">
        <v>2</v>
      </c>
      <c r="B12" s="7" t="s">
        <v>774</v>
      </c>
      <c r="C12" s="8" t="s">
        <v>226</v>
      </c>
      <c r="D12" s="8" t="s">
        <v>227</v>
      </c>
      <c r="E12" s="119" t="s">
        <v>228</v>
      </c>
      <c r="F12" s="8" t="s">
        <v>758</v>
      </c>
      <c r="G12" s="8" t="s">
        <v>229</v>
      </c>
      <c r="H12" s="8" t="s">
        <v>230</v>
      </c>
      <c r="I12" s="8" t="s">
        <v>231</v>
      </c>
      <c r="J12" s="8" t="s">
        <v>219</v>
      </c>
      <c r="K12" s="8" t="s">
        <v>220</v>
      </c>
      <c r="L12" s="8" t="s">
        <v>234</v>
      </c>
      <c r="M12" s="8"/>
      <c r="N12" s="8"/>
      <c r="O12" s="8" t="s">
        <v>222</v>
      </c>
      <c r="P12" s="8"/>
      <c r="Q12" s="8">
        <v>11</v>
      </c>
      <c r="R12" s="8">
        <v>8</v>
      </c>
      <c r="S12" s="8">
        <v>216.5</v>
      </c>
      <c r="T12" s="8">
        <v>216.5</v>
      </c>
      <c r="U12" s="8"/>
      <c r="V12" s="8">
        <v>89.5</v>
      </c>
      <c r="W12" s="8">
        <v>89.5</v>
      </c>
      <c r="X12" s="8"/>
      <c r="Y12" s="64" t="s">
        <v>223</v>
      </c>
      <c r="Z12" s="64" t="s">
        <v>235</v>
      </c>
      <c r="AA12" s="64" t="s">
        <v>225</v>
      </c>
      <c r="AB12" s="64"/>
      <c r="AC12" s="64" t="s">
        <v>222</v>
      </c>
      <c r="AD12" s="64" t="s">
        <v>222</v>
      </c>
      <c r="AE12" s="112"/>
      <c r="AF12" s="112"/>
      <c r="AG12" s="112"/>
      <c r="AH12" s="112"/>
      <c r="AI12" s="112"/>
      <c r="AJ12" s="112"/>
    </row>
    <row r="13" spans="1:36" s="6" customFormat="1" ht="140.25">
      <c r="A13" s="7">
        <v>3</v>
      </c>
      <c r="B13" s="7" t="s">
        <v>774</v>
      </c>
      <c r="C13" s="8" t="s">
        <v>236</v>
      </c>
      <c r="D13" s="8" t="s">
        <v>237</v>
      </c>
      <c r="E13" s="119" t="s">
        <v>238</v>
      </c>
      <c r="F13" s="8" t="s">
        <v>794</v>
      </c>
      <c r="G13" s="8" t="s">
        <v>795</v>
      </c>
      <c r="H13" s="8" t="s">
        <v>843</v>
      </c>
      <c r="I13" s="8" t="s">
        <v>842</v>
      </c>
      <c r="J13" s="8" t="s">
        <v>239</v>
      </c>
      <c r="K13" s="8"/>
      <c r="L13" s="8" t="s">
        <v>240</v>
      </c>
      <c r="M13" s="8"/>
      <c r="N13" s="8" t="s">
        <v>222</v>
      </c>
      <c r="O13" s="8" t="s">
        <v>222</v>
      </c>
      <c r="P13" s="8"/>
      <c r="Q13" s="8">
        <v>1</v>
      </c>
      <c r="R13" s="8">
        <v>1</v>
      </c>
      <c r="S13" s="8">
        <v>45.6</v>
      </c>
      <c r="T13" s="8">
        <v>45.6</v>
      </c>
      <c r="U13" s="8"/>
      <c r="V13" s="8">
        <v>30</v>
      </c>
      <c r="W13" s="8">
        <v>30</v>
      </c>
      <c r="X13" s="8"/>
      <c r="Y13" s="64" t="s">
        <v>223</v>
      </c>
      <c r="Z13" s="64" t="s">
        <v>224</v>
      </c>
      <c r="AA13" s="64" t="s">
        <v>225</v>
      </c>
      <c r="AB13" s="64"/>
      <c r="AC13" s="64"/>
      <c r="AD13" s="64"/>
      <c r="AE13" s="112"/>
      <c r="AF13" s="112"/>
      <c r="AG13" s="112"/>
      <c r="AH13" s="112"/>
      <c r="AI13" s="112"/>
      <c r="AJ13" s="112"/>
    </row>
    <row r="14" spans="1:36" s="6" customFormat="1" ht="51">
      <c r="A14" s="7">
        <v>4</v>
      </c>
      <c r="B14" s="7" t="s">
        <v>775</v>
      </c>
      <c r="C14" s="8" t="s">
        <v>241</v>
      </c>
      <c r="D14" s="8" t="s">
        <v>242</v>
      </c>
      <c r="E14" s="119" t="s">
        <v>243</v>
      </c>
      <c r="F14" s="8" t="s">
        <v>759</v>
      </c>
      <c r="G14" s="8" t="s">
        <v>244</v>
      </c>
      <c r="H14" s="8" t="s">
        <v>245</v>
      </c>
      <c r="I14" s="8" t="s">
        <v>245</v>
      </c>
      <c r="J14" s="8" t="s">
        <v>219</v>
      </c>
      <c r="K14" s="8" t="s">
        <v>220</v>
      </c>
      <c r="L14" s="8" t="s">
        <v>247</v>
      </c>
      <c r="M14" s="8"/>
      <c r="N14" s="8"/>
      <c r="O14" s="8" t="s">
        <v>222</v>
      </c>
      <c r="P14" s="8"/>
      <c r="Q14" s="8">
        <v>4</v>
      </c>
      <c r="R14" s="8">
        <v>2</v>
      </c>
      <c r="S14" s="8">
        <v>48.6</v>
      </c>
      <c r="T14" s="8">
        <v>48.6</v>
      </c>
      <c r="U14" s="8"/>
      <c r="V14" s="8">
        <v>34.5</v>
      </c>
      <c r="W14" s="8">
        <v>34.5</v>
      </c>
      <c r="X14" s="8"/>
      <c r="Y14" s="64" t="s">
        <v>223</v>
      </c>
      <c r="Z14" s="64" t="s">
        <v>235</v>
      </c>
      <c r="AA14" s="64"/>
      <c r="AB14" s="64"/>
      <c r="AC14" s="64" t="s">
        <v>222</v>
      </c>
      <c r="AD14" s="64" t="s">
        <v>222</v>
      </c>
      <c r="AE14" s="112"/>
      <c r="AF14" s="112"/>
      <c r="AG14" s="112"/>
      <c r="AH14" s="112" t="s">
        <v>222</v>
      </c>
      <c r="AI14" s="112"/>
      <c r="AJ14" s="112"/>
    </row>
    <row r="15" spans="1:36" s="6" customFormat="1" ht="63.75">
      <c r="A15" s="7">
        <v>5</v>
      </c>
      <c r="B15" s="7" t="s">
        <v>776</v>
      </c>
      <c r="C15" s="8" t="s">
        <v>248</v>
      </c>
      <c r="D15" s="8" t="s">
        <v>249</v>
      </c>
      <c r="E15" s="119">
        <v>9066637750</v>
      </c>
      <c r="F15" s="8" t="s">
        <v>760</v>
      </c>
      <c r="G15" s="8" t="s">
        <v>251</v>
      </c>
      <c r="H15" s="8" t="s">
        <v>252</v>
      </c>
      <c r="I15" s="8" t="s">
        <v>252</v>
      </c>
      <c r="J15" s="8" t="s">
        <v>219</v>
      </c>
      <c r="K15" s="8" t="s">
        <v>220</v>
      </c>
      <c r="L15" s="8" t="s">
        <v>253</v>
      </c>
      <c r="M15" s="8"/>
      <c r="N15" s="8"/>
      <c r="O15" s="8" t="s">
        <v>222</v>
      </c>
      <c r="P15" s="8"/>
      <c r="Q15" s="8">
        <v>2</v>
      </c>
      <c r="R15" s="8">
        <v>2</v>
      </c>
      <c r="S15" s="8">
        <v>63.6</v>
      </c>
      <c r="T15" s="8">
        <v>63.6</v>
      </c>
      <c r="U15" s="8"/>
      <c r="V15" s="8">
        <v>43.5</v>
      </c>
      <c r="W15" s="8">
        <v>43.5</v>
      </c>
      <c r="X15" s="8"/>
      <c r="Y15" s="64" t="s">
        <v>223</v>
      </c>
      <c r="Z15" s="64" t="s">
        <v>235</v>
      </c>
      <c r="AA15" s="64" t="s">
        <v>225</v>
      </c>
      <c r="AB15" s="64"/>
      <c r="AC15" s="64" t="s">
        <v>222</v>
      </c>
      <c r="AD15" s="64" t="s">
        <v>222</v>
      </c>
      <c r="AE15" s="112"/>
      <c r="AF15" s="112"/>
      <c r="AG15" s="112"/>
      <c r="AH15" s="112"/>
      <c r="AI15" s="112"/>
      <c r="AJ15" s="112"/>
    </row>
    <row r="16" spans="1:36" s="6" customFormat="1" ht="76.5">
      <c r="A16" s="7">
        <v>6</v>
      </c>
      <c r="B16" s="7" t="s">
        <v>774</v>
      </c>
      <c r="C16" s="8" t="s">
        <v>254</v>
      </c>
      <c r="D16" s="8" t="s">
        <v>255</v>
      </c>
      <c r="E16" s="119" t="s">
        <v>256</v>
      </c>
      <c r="F16" s="8" t="s">
        <v>761</v>
      </c>
      <c r="G16" s="8" t="s">
        <v>258</v>
      </c>
      <c r="H16" s="8" t="s">
        <v>259</v>
      </c>
      <c r="I16" s="8" t="s">
        <v>259</v>
      </c>
      <c r="J16" s="8" t="s">
        <v>219</v>
      </c>
      <c r="K16" s="8" t="s">
        <v>220</v>
      </c>
      <c r="L16" s="8" t="s">
        <v>260</v>
      </c>
      <c r="M16" s="8"/>
      <c r="N16" s="8"/>
      <c r="O16" s="8" t="s">
        <v>222</v>
      </c>
      <c r="P16" s="8"/>
      <c r="Q16" s="8">
        <v>4</v>
      </c>
      <c r="R16" s="8">
        <v>2</v>
      </c>
      <c r="S16" s="8">
        <v>70</v>
      </c>
      <c r="T16" s="8">
        <v>70</v>
      </c>
      <c r="U16" s="8"/>
      <c r="V16" s="8">
        <v>42</v>
      </c>
      <c r="W16" s="8">
        <v>42</v>
      </c>
      <c r="X16" s="8"/>
      <c r="Y16" s="64" t="s">
        <v>223</v>
      </c>
      <c r="Z16" s="64" t="s">
        <v>235</v>
      </c>
      <c r="AA16" s="64" t="s">
        <v>225</v>
      </c>
      <c r="AB16" s="64"/>
      <c r="AC16" s="64" t="s">
        <v>222</v>
      </c>
      <c r="AD16" s="64" t="s">
        <v>222</v>
      </c>
      <c r="AE16" s="112"/>
      <c r="AF16" s="112"/>
      <c r="AG16" s="112"/>
      <c r="AH16" s="112" t="s">
        <v>222</v>
      </c>
      <c r="AI16" s="112"/>
      <c r="AJ16" s="112"/>
    </row>
    <row r="17" spans="1:36" s="6" customFormat="1" ht="76.5">
      <c r="A17" s="7">
        <v>7</v>
      </c>
      <c r="B17" s="7" t="s">
        <v>777</v>
      </c>
      <c r="C17" s="8" t="s">
        <v>248</v>
      </c>
      <c r="D17" s="8" t="s">
        <v>261</v>
      </c>
      <c r="E17" s="119">
        <v>9102082791</v>
      </c>
      <c r="F17" s="8" t="s">
        <v>262</v>
      </c>
      <c r="G17" s="8" t="s">
        <v>263</v>
      </c>
      <c r="H17" s="8" t="s">
        <v>264</v>
      </c>
      <c r="I17" s="8" t="s">
        <v>265</v>
      </c>
      <c r="J17" s="8" t="s">
        <v>266</v>
      </c>
      <c r="K17" s="8" t="s">
        <v>233</v>
      </c>
      <c r="L17" s="8" t="s">
        <v>267</v>
      </c>
      <c r="M17" s="8"/>
      <c r="N17" s="8"/>
      <c r="O17" s="8" t="s">
        <v>222</v>
      </c>
      <c r="P17" s="8"/>
      <c r="Q17" s="8">
        <v>2</v>
      </c>
      <c r="R17" s="65">
        <v>1</v>
      </c>
      <c r="S17" s="8">
        <v>34</v>
      </c>
      <c r="T17" s="8">
        <v>34</v>
      </c>
      <c r="U17" s="8"/>
      <c r="V17" s="8">
        <v>24</v>
      </c>
      <c r="W17" s="8">
        <v>24</v>
      </c>
      <c r="X17" s="8"/>
      <c r="Y17" s="64" t="s">
        <v>223</v>
      </c>
      <c r="Z17" s="64" t="s">
        <v>235</v>
      </c>
      <c r="AA17" s="64"/>
      <c r="AB17" s="64"/>
      <c r="AC17" s="64" t="s">
        <v>222</v>
      </c>
      <c r="AD17" s="64" t="s">
        <v>222</v>
      </c>
      <c r="AE17" s="112"/>
      <c r="AF17" s="112"/>
      <c r="AG17" s="112"/>
      <c r="AH17" s="112"/>
      <c r="AI17" s="112"/>
      <c r="AJ17" s="112"/>
    </row>
    <row r="18" spans="1:36" s="6" customFormat="1" ht="51">
      <c r="A18" s="7">
        <v>8</v>
      </c>
      <c r="B18" s="7" t="s">
        <v>774</v>
      </c>
      <c r="C18" s="8" t="s">
        <v>248</v>
      </c>
      <c r="D18" s="8" t="s">
        <v>272</v>
      </c>
      <c r="E18" s="119">
        <v>9208121312</v>
      </c>
      <c r="F18" s="8" t="s">
        <v>273</v>
      </c>
      <c r="G18" s="8" t="s">
        <v>274</v>
      </c>
      <c r="H18" s="8" t="s">
        <v>275</v>
      </c>
      <c r="I18" s="8" t="s">
        <v>275</v>
      </c>
      <c r="J18" s="8" t="s">
        <v>266</v>
      </c>
      <c r="K18" s="8" t="s">
        <v>233</v>
      </c>
      <c r="L18" s="8" t="s">
        <v>276</v>
      </c>
      <c r="M18" s="8"/>
      <c r="N18" s="8"/>
      <c r="O18" s="8" t="s">
        <v>222</v>
      </c>
      <c r="P18" s="8"/>
      <c r="Q18" s="8">
        <v>2</v>
      </c>
      <c r="R18" s="65">
        <v>2</v>
      </c>
      <c r="S18" s="8">
        <v>40</v>
      </c>
      <c r="T18" s="8">
        <v>40</v>
      </c>
      <c r="U18" s="8"/>
      <c r="V18" s="8">
        <v>24.4</v>
      </c>
      <c r="W18" s="8">
        <v>24.4</v>
      </c>
      <c r="X18" s="8"/>
      <c r="Y18" s="64" t="s">
        <v>223</v>
      </c>
      <c r="Z18" s="64" t="s">
        <v>235</v>
      </c>
      <c r="AA18" s="64"/>
      <c r="AB18" s="64"/>
      <c r="AC18" s="64" t="s">
        <v>222</v>
      </c>
      <c r="AD18" s="64" t="s">
        <v>222</v>
      </c>
      <c r="AE18" s="112"/>
      <c r="AF18" s="112"/>
      <c r="AG18" s="112"/>
      <c r="AH18" s="112" t="s">
        <v>222</v>
      </c>
      <c r="AI18" s="112"/>
      <c r="AJ18" s="112"/>
    </row>
    <row r="19" spans="1:36" s="6" customFormat="1" ht="76.5">
      <c r="A19" s="7">
        <v>9</v>
      </c>
      <c r="B19" s="7" t="s">
        <v>779</v>
      </c>
      <c r="C19" s="8" t="s">
        <v>248</v>
      </c>
      <c r="D19" s="8" t="s">
        <v>277</v>
      </c>
      <c r="E19" s="119">
        <v>9102674523</v>
      </c>
      <c r="F19" s="8" t="s">
        <v>278</v>
      </c>
      <c r="G19" s="8" t="s">
        <v>279</v>
      </c>
      <c r="H19" s="8" t="s">
        <v>280</v>
      </c>
      <c r="I19" s="8" t="s">
        <v>280</v>
      </c>
      <c r="J19" s="8" t="s">
        <v>232</v>
      </c>
      <c r="K19" s="8" t="s">
        <v>233</v>
      </c>
      <c r="L19" s="8" t="s">
        <v>281</v>
      </c>
      <c r="M19" s="8"/>
      <c r="N19" s="8"/>
      <c r="O19" s="8" t="s">
        <v>222</v>
      </c>
      <c r="P19" s="8"/>
      <c r="Q19" s="8">
        <v>2</v>
      </c>
      <c r="R19" s="65">
        <v>2</v>
      </c>
      <c r="S19" s="8">
        <v>81.3</v>
      </c>
      <c r="T19" s="8">
        <v>81.3</v>
      </c>
      <c r="U19" s="8"/>
      <c r="V19" s="8">
        <v>26.2</v>
      </c>
      <c r="W19" s="8">
        <v>26.2</v>
      </c>
      <c r="X19" s="8"/>
      <c r="Y19" s="64" t="s">
        <v>223</v>
      </c>
      <c r="Z19" s="64" t="s">
        <v>235</v>
      </c>
      <c r="AA19" s="64"/>
      <c r="AB19" s="64"/>
      <c r="AC19" s="64" t="s">
        <v>222</v>
      </c>
      <c r="AD19" s="64" t="s">
        <v>222</v>
      </c>
      <c r="AE19" s="112"/>
      <c r="AF19" s="112"/>
      <c r="AG19" s="112"/>
      <c r="AH19" s="112"/>
      <c r="AI19" s="112"/>
      <c r="AJ19" s="112"/>
    </row>
    <row r="20" spans="1:36" s="6" customFormat="1" ht="76.5">
      <c r="A20" s="7">
        <v>10</v>
      </c>
      <c r="B20" s="7" t="s">
        <v>774</v>
      </c>
      <c r="C20" s="8" t="s">
        <v>286</v>
      </c>
      <c r="D20" s="8" t="s">
        <v>287</v>
      </c>
      <c r="E20" s="119">
        <v>84864322561</v>
      </c>
      <c r="F20" s="8" t="s">
        <v>288</v>
      </c>
      <c r="G20" s="8" t="s">
        <v>289</v>
      </c>
      <c r="H20" s="8" t="s">
        <v>290</v>
      </c>
      <c r="I20" s="8" t="s">
        <v>290</v>
      </c>
      <c r="J20" s="8" t="s">
        <v>219</v>
      </c>
      <c r="K20" s="8" t="s">
        <v>220</v>
      </c>
      <c r="L20" s="8" t="s">
        <v>291</v>
      </c>
      <c r="M20" s="8"/>
      <c r="N20" s="8"/>
      <c r="O20" s="8" t="s">
        <v>222</v>
      </c>
      <c r="P20" s="8"/>
      <c r="Q20" s="8">
        <v>4</v>
      </c>
      <c r="R20" s="65">
        <v>4</v>
      </c>
      <c r="S20" s="8">
        <v>85.3</v>
      </c>
      <c r="T20" s="8">
        <v>85.3</v>
      </c>
      <c r="U20" s="8"/>
      <c r="V20" s="8">
        <v>60</v>
      </c>
      <c r="W20" s="8">
        <v>60</v>
      </c>
      <c r="X20" s="8"/>
      <c r="Y20" s="64" t="s">
        <v>223</v>
      </c>
      <c r="Z20" s="64" t="s">
        <v>235</v>
      </c>
      <c r="AA20" s="64"/>
      <c r="AB20" s="64"/>
      <c r="AC20" s="64" t="s">
        <v>222</v>
      </c>
      <c r="AD20" s="64" t="s">
        <v>222</v>
      </c>
      <c r="AE20" s="112"/>
      <c r="AF20" s="112"/>
      <c r="AG20" s="112"/>
      <c r="AH20" s="112" t="s">
        <v>222</v>
      </c>
      <c r="AI20" s="112"/>
      <c r="AJ20" s="112"/>
    </row>
    <row r="21" spans="1:36" s="6" customFormat="1" ht="18.75" hidden="1">
      <c r="A21" s="7"/>
      <c r="B21" s="7"/>
      <c r="C21" s="8"/>
      <c r="D21" s="8"/>
      <c r="E21" s="11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65"/>
      <c r="S21" s="8"/>
      <c r="T21" s="8"/>
      <c r="U21" s="8"/>
      <c r="V21" s="8"/>
      <c r="W21" s="8"/>
      <c r="X21" s="8"/>
      <c r="Y21" s="64"/>
      <c r="Z21" s="64"/>
      <c r="AA21" s="64"/>
      <c r="AB21" s="64"/>
      <c r="AC21" s="64"/>
      <c r="AD21" s="64"/>
      <c r="AE21" s="112"/>
      <c r="AF21" s="112"/>
      <c r="AG21" s="112"/>
      <c r="AH21" s="112"/>
      <c r="AI21" s="112"/>
      <c r="AJ21" s="112"/>
    </row>
    <row r="22" spans="1:36" s="6" customFormat="1" ht="38.25">
      <c r="A22" s="7">
        <v>11</v>
      </c>
      <c r="B22" s="7" t="s">
        <v>774</v>
      </c>
      <c r="C22" s="8" t="s">
        <v>295</v>
      </c>
      <c r="D22" s="8" t="s">
        <v>272</v>
      </c>
      <c r="E22" s="119" t="s">
        <v>296</v>
      </c>
      <c r="F22" s="8" t="s">
        <v>297</v>
      </c>
      <c r="G22" s="8"/>
      <c r="H22" s="8" t="s">
        <v>298</v>
      </c>
      <c r="I22" s="8" t="s">
        <v>298</v>
      </c>
      <c r="J22" s="8" t="s">
        <v>246</v>
      </c>
      <c r="K22" s="8" t="s">
        <v>233</v>
      </c>
      <c r="L22" s="8" t="s">
        <v>299</v>
      </c>
      <c r="M22" s="8"/>
      <c r="N22" s="8"/>
      <c r="O22" s="8" t="s">
        <v>222</v>
      </c>
      <c r="P22" s="8"/>
      <c r="Q22" s="8">
        <v>2</v>
      </c>
      <c r="R22" s="65">
        <v>2</v>
      </c>
      <c r="S22" s="8">
        <v>36</v>
      </c>
      <c r="T22" s="8">
        <v>36</v>
      </c>
      <c r="U22" s="8"/>
      <c r="V22" s="8">
        <v>30</v>
      </c>
      <c r="W22" s="8">
        <v>30</v>
      </c>
      <c r="X22" s="8"/>
      <c r="Y22" s="64" t="s">
        <v>223</v>
      </c>
      <c r="Z22" s="64" t="s">
        <v>224</v>
      </c>
      <c r="AA22" s="64"/>
      <c r="AB22" s="64"/>
      <c r="AC22" s="64" t="s">
        <v>222</v>
      </c>
      <c r="AD22" s="64" t="s">
        <v>222</v>
      </c>
      <c r="AE22" s="112"/>
      <c r="AF22" s="112"/>
      <c r="AG22" s="112"/>
      <c r="AH22" s="112"/>
      <c r="AI22" s="112"/>
      <c r="AJ22" s="112"/>
    </row>
    <row r="23" spans="1:36" s="6" customFormat="1" ht="63.75">
      <c r="A23" s="7">
        <v>12</v>
      </c>
      <c r="B23" s="7" t="s">
        <v>774</v>
      </c>
      <c r="C23" s="8" t="s">
        <v>305</v>
      </c>
      <c r="D23" s="8" t="s">
        <v>306</v>
      </c>
      <c r="E23" s="119" t="s">
        <v>307</v>
      </c>
      <c r="F23" s="8" t="s">
        <v>308</v>
      </c>
      <c r="G23" s="8" t="s">
        <v>309</v>
      </c>
      <c r="H23" s="8" t="s">
        <v>310</v>
      </c>
      <c r="I23" s="8" t="s">
        <v>310</v>
      </c>
      <c r="J23" s="8" t="s">
        <v>246</v>
      </c>
      <c r="K23" s="8" t="s">
        <v>233</v>
      </c>
      <c r="L23" s="8" t="s">
        <v>311</v>
      </c>
      <c r="M23" s="8"/>
      <c r="N23" s="8"/>
      <c r="O23" s="8" t="s">
        <v>222</v>
      </c>
      <c r="P23" s="8"/>
      <c r="Q23" s="8">
        <v>2</v>
      </c>
      <c r="R23" s="65">
        <v>2</v>
      </c>
      <c r="S23" s="8">
        <v>32</v>
      </c>
      <c r="T23" s="8">
        <v>32</v>
      </c>
      <c r="U23" s="8"/>
      <c r="V23" s="8">
        <v>10</v>
      </c>
      <c r="W23" s="8">
        <v>10</v>
      </c>
      <c r="X23" s="8"/>
      <c r="Y23" s="64" t="s">
        <v>223</v>
      </c>
      <c r="Z23" s="64" t="s">
        <v>224</v>
      </c>
      <c r="AA23" s="64"/>
      <c r="AB23" s="64"/>
      <c r="AC23" s="64" t="s">
        <v>222</v>
      </c>
      <c r="AD23" s="64" t="s">
        <v>222</v>
      </c>
      <c r="AE23" s="112"/>
      <c r="AF23" s="112"/>
      <c r="AG23" s="112"/>
      <c r="AH23" s="112"/>
      <c r="AI23" s="112"/>
      <c r="AJ23" s="112"/>
    </row>
    <row r="24" spans="1:36" s="124" customFormat="1" ht="38.25">
      <c r="A24" s="120">
        <v>13</v>
      </c>
      <c r="B24" s="120" t="s">
        <v>774</v>
      </c>
      <c r="C24" s="114" t="s">
        <v>797</v>
      </c>
      <c r="D24" s="114" t="s">
        <v>798</v>
      </c>
      <c r="E24" s="133">
        <v>9051669977</v>
      </c>
      <c r="F24" s="114" t="s">
        <v>905</v>
      </c>
      <c r="G24" s="114" t="s">
        <v>800</v>
      </c>
      <c r="H24" s="114" t="s">
        <v>796</v>
      </c>
      <c r="I24" s="114" t="s">
        <v>796</v>
      </c>
      <c r="J24" s="114" t="s">
        <v>246</v>
      </c>
      <c r="K24" s="114" t="s">
        <v>233</v>
      </c>
      <c r="L24" s="114" t="s">
        <v>304</v>
      </c>
      <c r="M24" s="114"/>
      <c r="N24" s="114"/>
      <c r="O24" s="114" t="s">
        <v>222</v>
      </c>
      <c r="P24" s="114"/>
      <c r="Q24" s="114">
        <v>2</v>
      </c>
      <c r="R24" s="115">
        <v>2</v>
      </c>
      <c r="S24" s="114">
        <v>35</v>
      </c>
      <c r="T24" s="114">
        <v>35</v>
      </c>
      <c r="U24" s="114"/>
      <c r="V24" s="114">
        <v>25</v>
      </c>
      <c r="W24" s="114">
        <v>25</v>
      </c>
      <c r="X24" s="114"/>
      <c r="Y24" s="116" t="s">
        <v>223</v>
      </c>
      <c r="Z24" s="116" t="s">
        <v>235</v>
      </c>
      <c r="AA24" s="116" t="s">
        <v>222</v>
      </c>
      <c r="AB24" s="116"/>
      <c r="AC24" s="116" t="s">
        <v>222</v>
      </c>
      <c r="AD24" s="116" t="s">
        <v>222</v>
      </c>
      <c r="AE24" s="123"/>
      <c r="AF24" s="123"/>
      <c r="AG24" s="123"/>
      <c r="AH24" s="123"/>
      <c r="AI24" s="123"/>
      <c r="AJ24" s="123"/>
    </row>
    <row r="25" spans="1:36" s="6" customFormat="1" ht="51">
      <c r="A25" s="7">
        <v>14</v>
      </c>
      <c r="B25" s="7" t="s">
        <v>774</v>
      </c>
      <c r="C25" s="8" t="s">
        <v>314</v>
      </c>
      <c r="D25" s="8" t="s">
        <v>315</v>
      </c>
      <c r="E25" s="119" t="s">
        <v>316</v>
      </c>
      <c r="F25" s="8" t="s">
        <v>317</v>
      </c>
      <c r="G25" s="8" t="s">
        <v>318</v>
      </c>
      <c r="H25" s="8" t="s">
        <v>319</v>
      </c>
      <c r="I25" s="8" t="s">
        <v>319</v>
      </c>
      <c r="J25" s="8" t="s">
        <v>246</v>
      </c>
      <c r="K25" s="8" t="s">
        <v>233</v>
      </c>
      <c r="L25" s="8" t="s">
        <v>260</v>
      </c>
      <c r="M25" s="8"/>
      <c r="N25" s="8"/>
      <c r="O25" s="8" t="s">
        <v>222</v>
      </c>
      <c r="P25" s="8"/>
      <c r="Q25" s="8">
        <v>2</v>
      </c>
      <c r="R25" s="65">
        <v>2</v>
      </c>
      <c r="S25" s="8">
        <v>58.2</v>
      </c>
      <c r="T25" s="8">
        <v>58.2</v>
      </c>
      <c r="U25" s="8"/>
      <c r="V25" s="8">
        <v>44.8</v>
      </c>
      <c r="W25" s="8">
        <v>44.8</v>
      </c>
      <c r="X25" s="8"/>
      <c r="Y25" s="64" t="s">
        <v>223</v>
      </c>
      <c r="Z25" s="64" t="s">
        <v>224</v>
      </c>
      <c r="AA25" s="64"/>
      <c r="AB25" s="64"/>
      <c r="AC25" s="64" t="s">
        <v>222</v>
      </c>
      <c r="AD25" s="64" t="s">
        <v>222</v>
      </c>
      <c r="AE25" s="112"/>
      <c r="AF25" s="112"/>
      <c r="AG25" s="112"/>
      <c r="AH25" s="112"/>
      <c r="AI25" s="112"/>
      <c r="AJ25" s="112"/>
    </row>
    <row r="26" spans="1:36" s="124" customFormat="1" ht="63.75">
      <c r="A26" s="120">
        <v>15</v>
      </c>
      <c r="B26" s="120" t="s">
        <v>774</v>
      </c>
      <c r="C26" s="114" t="s">
        <v>820</v>
      </c>
      <c r="D26" s="114" t="s">
        <v>312</v>
      </c>
      <c r="E26" s="133">
        <v>9066656666</v>
      </c>
      <c r="F26" s="114" t="s">
        <v>301</v>
      </c>
      <c r="G26" s="114" t="s">
        <v>302</v>
      </c>
      <c r="H26" s="114" t="s">
        <v>799</v>
      </c>
      <c r="I26" s="114" t="s">
        <v>799</v>
      </c>
      <c r="J26" s="114" t="s">
        <v>246</v>
      </c>
      <c r="K26" s="114" t="s">
        <v>233</v>
      </c>
      <c r="L26" s="114" t="s">
        <v>304</v>
      </c>
      <c r="M26" s="114"/>
      <c r="N26" s="114"/>
      <c r="O26" s="114" t="s">
        <v>222</v>
      </c>
      <c r="P26" s="114"/>
      <c r="Q26" s="114">
        <v>2</v>
      </c>
      <c r="R26" s="115">
        <v>2</v>
      </c>
      <c r="S26" s="114">
        <v>100</v>
      </c>
      <c r="T26" s="114">
        <v>100</v>
      </c>
      <c r="U26" s="114"/>
      <c r="V26" s="114">
        <v>52.8</v>
      </c>
      <c r="W26" s="114">
        <v>52.8</v>
      </c>
      <c r="X26" s="114"/>
      <c r="Y26" s="116" t="s">
        <v>223</v>
      </c>
      <c r="Z26" s="116" t="s">
        <v>224</v>
      </c>
      <c r="AA26" s="116" t="s">
        <v>225</v>
      </c>
      <c r="AB26" s="116" t="s">
        <v>222</v>
      </c>
      <c r="AC26" s="116" t="s">
        <v>222</v>
      </c>
      <c r="AD26" s="116" t="s">
        <v>222</v>
      </c>
      <c r="AE26" s="123"/>
      <c r="AF26" s="123"/>
      <c r="AG26" s="123"/>
      <c r="AH26" s="123" t="s">
        <v>222</v>
      </c>
      <c r="AI26" s="123"/>
      <c r="AJ26" s="123"/>
    </row>
    <row r="27" spans="1:36" s="6" customFormat="1" ht="127.5">
      <c r="A27" s="7">
        <v>16</v>
      </c>
      <c r="B27" s="7" t="s">
        <v>774</v>
      </c>
      <c r="C27" s="8" t="s">
        <v>827</v>
      </c>
      <c r="D27" s="8" t="s">
        <v>214</v>
      </c>
      <c r="E27" s="119"/>
      <c r="F27" s="8" t="s">
        <v>828</v>
      </c>
      <c r="G27" s="8"/>
      <c r="H27" s="8" t="s">
        <v>829</v>
      </c>
      <c r="I27" s="8" t="s">
        <v>829</v>
      </c>
      <c r="J27" s="8" t="s">
        <v>246</v>
      </c>
      <c r="K27" s="8"/>
      <c r="L27" s="8" t="s">
        <v>846</v>
      </c>
      <c r="M27" s="8"/>
      <c r="N27" s="8"/>
      <c r="O27" s="8" t="s">
        <v>222</v>
      </c>
      <c r="P27" s="8"/>
      <c r="Q27" s="8">
        <v>2</v>
      </c>
      <c r="R27" s="65">
        <v>2</v>
      </c>
      <c r="S27" s="8">
        <v>87</v>
      </c>
      <c r="T27" s="8">
        <v>87</v>
      </c>
      <c r="U27" s="8"/>
      <c r="V27" s="8">
        <v>34</v>
      </c>
      <c r="W27" s="8">
        <v>34</v>
      </c>
      <c r="X27" s="8"/>
      <c r="Y27" s="64" t="s">
        <v>223</v>
      </c>
      <c r="Z27" s="64" t="s">
        <v>224</v>
      </c>
      <c r="AA27" s="64" t="s">
        <v>225</v>
      </c>
      <c r="AB27" s="64"/>
      <c r="AC27" s="64"/>
      <c r="AD27" s="64"/>
      <c r="AE27" s="112"/>
      <c r="AF27" s="112"/>
      <c r="AG27" s="112"/>
      <c r="AH27" s="112"/>
      <c r="AI27" s="112"/>
      <c r="AJ27" s="112"/>
    </row>
    <row r="28" spans="1:36" s="6" customFormat="1" ht="51">
      <c r="A28" s="7">
        <v>17</v>
      </c>
      <c r="B28" s="7" t="s">
        <v>774</v>
      </c>
      <c r="C28" s="8" t="s">
        <v>845</v>
      </c>
      <c r="D28" s="8" t="s">
        <v>518</v>
      </c>
      <c r="E28" s="119">
        <v>9107488808</v>
      </c>
      <c r="F28" s="8" t="s">
        <v>848</v>
      </c>
      <c r="G28" s="8" t="s">
        <v>849</v>
      </c>
      <c r="H28" s="8" t="s">
        <v>850</v>
      </c>
      <c r="I28" s="8" t="s">
        <v>851</v>
      </c>
      <c r="J28" s="8" t="s">
        <v>852</v>
      </c>
      <c r="K28" s="8"/>
      <c r="L28" s="8" t="s">
        <v>853</v>
      </c>
      <c r="M28" s="8"/>
      <c r="N28" s="8"/>
      <c r="O28" s="8" t="s">
        <v>222</v>
      </c>
      <c r="P28" s="8"/>
      <c r="Q28" s="8">
        <v>2</v>
      </c>
      <c r="R28" s="65">
        <v>2</v>
      </c>
      <c r="S28" s="8">
        <v>80</v>
      </c>
      <c r="T28" s="8">
        <v>80</v>
      </c>
      <c r="U28" s="8"/>
      <c r="V28" s="8">
        <v>60</v>
      </c>
      <c r="W28" s="8">
        <v>60</v>
      </c>
      <c r="X28" s="8"/>
      <c r="Y28" s="64" t="s">
        <v>223</v>
      </c>
      <c r="Z28" s="64" t="s">
        <v>681</v>
      </c>
      <c r="AA28" s="64" t="s">
        <v>225</v>
      </c>
      <c r="AB28" s="64"/>
      <c r="AC28" s="64"/>
      <c r="AD28" s="64"/>
      <c r="AE28" s="112"/>
      <c r="AF28" s="112"/>
      <c r="AG28" s="112"/>
      <c r="AH28" s="112" t="s">
        <v>222</v>
      </c>
      <c r="AI28" s="112"/>
      <c r="AJ28" s="112"/>
    </row>
    <row r="29" spans="1:36" s="6" customFormat="1" ht="46.5" customHeight="1">
      <c r="A29" s="7">
        <v>18</v>
      </c>
      <c r="B29" s="7" t="s">
        <v>774</v>
      </c>
      <c r="C29" s="8" t="s">
        <v>845</v>
      </c>
      <c r="D29" s="8" t="s">
        <v>854</v>
      </c>
      <c r="E29" s="119">
        <v>9107488808</v>
      </c>
      <c r="F29" s="8" t="s">
        <v>848</v>
      </c>
      <c r="G29" s="8" t="s">
        <v>849</v>
      </c>
      <c r="H29" s="8" t="s">
        <v>850</v>
      </c>
      <c r="I29" s="8" t="s">
        <v>851</v>
      </c>
      <c r="J29" s="8" t="s">
        <v>852</v>
      </c>
      <c r="K29" s="8"/>
      <c r="L29" s="8" t="s">
        <v>853</v>
      </c>
      <c r="M29" s="8"/>
      <c r="N29" s="8"/>
      <c r="O29" s="8" t="s">
        <v>222</v>
      </c>
      <c r="P29" s="8"/>
      <c r="Q29" s="8">
        <v>2</v>
      </c>
      <c r="R29" s="65">
        <v>2</v>
      </c>
      <c r="S29" s="8">
        <v>100</v>
      </c>
      <c r="T29" s="8">
        <v>100</v>
      </c>
      <c r="U29" s="8"/>
      <c r="V29" s="8">
        <v>80</v>
      </c>
      <c r="W29" s="8">
        <v>80</v>
      </c>
      <c r="X29" s="8"/>
      <c r="Y29" s="64" t="s">
        <v>223</v>
      </c>
      <c r="Z29" s="64" t="s">
        <v>224</v>
      </c>
      <c r="AA29" s="64" t="s">
        <v>225</v>
      </c>
      <c r="AB29" s="64"/>
      <c r="AC29" s="64"/>
      <c r="AD29" s="64"/>
      <c r="AE29" s="112"/>
      <c r="AF29" s="112">
        <v>120</v>
      </c>
      <c r="AG29" s="112"/>
      <c r="AH29" s="112" t="s">
        <v>222</v>
      </c>
      <c r="AI29" s="112"/>
      <c r="AJ29" s="112"/>
    </row>
    <row r="30" spans="1:36" s="124" customFormat="1" ht="18.75" hidden="1">
      <c r="A30" s="155"/>
      <c r="B30" s="130"/>
      <c r="C30" s="168"/>
      <c r="D30" s="168"/>
      <c r="E30" s="133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16"/>
      <c r="Z30" s="116"/>
      <c r="AA30" s="117"/>
      <c r="AB30" s="116"/>
      <c r="AC30" s="116"/>
      <c r="AD30" s="116"/>
      <c r="AE30" s="123"/>
      <c r="AF30" s="123"/>
      <c r="AG30" s="123"/>
      <c r="AH30" s="123"/>
      <c r="AI30" s="123"/>
      <c r="AJ30" s="123"/>
    </row>
    <row r="31" spans="1:36" s="6" customFormat="1" ht="18.75" hidden="1">
      <c r="A31" s="7"/>
      <c r="B31" s="7"/>
      <c r="C31" s="8"/>
      <c r="D31" s="8"/>
      <c r="E31" s="11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65"/>
      <c r="S31" s="8"/>
      <c r="T31" s="8"/>
      <c r="U31" s="8"/>
      <c r="V31" s="8"/>
      <c r="W31" s="8"/>
      <c r="X31" s="8"/>
      <c r="Y31" s="64"/>
      <c r="Z31" s="64"/>
      <c r="AA31" s="64"/>
      <c r="AB31" s="64"/>
      <c r="AC31" s="64"/>
      <c r="AD31" s="64"/>
      <c r="AE31" s="112"/>
      <c r="AF31" s="112"/>
      <c r="AG31" s="112"/>
      <c r="AH31" s="112"/>
      <c r="AI31" s="112"/>
      <c r="AJ31" s="112"/>
    </row>
    <row r="32" spans="1:36" s="6" customFormat="1" ht="18.75" hidden="1">
      <c r="A32" s="7"/>
      <c r="B32" s="7"/>
      <c r="C32" s="8"/>
      <c r="D32" s="8"/>
      <c r="E32" s="11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65"/>
      <c r="S32" s="8"/>
      <c r="T32" s="8"/>
      <c r="U32" s="8"/>
      <c r="V32" s="8"/>
      <c r="W32" s="8"/>
      <c r="X32" s="8"/>
      <c r="Y32" s="64"/>
      <c r="Z32" s="64"/>
      <c r="AA32" s="64"/>
      <c r="AB32" s="64"/>
      <c r="AC32" s="64"/>
      <c r="AD32" s="64"/>
      <c r="AE32" s="112"/>
      <c r="AF32" s="112"/>
      <c r="AG32" s="112"/>
      <c r="AH32" s="112"/>
      <c r="AI32" s="112"/>
      <c r="AJ32" s="112"/>
    </row>
    <row r="33" spans="1:36" s="6" customFormat="1" ht="18.75">
      <c r="A33" s="7"/>
      <c r="B33" s="7"/>
      <c r="C33" s="8"/>
      <c r="D33" s="8"/>
      <c r="E33" s="11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5"/>
      <c r="S33" s="8"/>
      <c r="T33" s="8"/>
      <c r="U33" s="8"/>
      <c r="V33" s="8"/>
      <c r="W33" s="8"/>
      <c r="X33" s="8"/>
      <c r="Y33" s="64"/>
      <c r="Z33" s="64"/>
      <c r="AA33" s="64"/>
      <c r="AB33" s="64"/>
      <c r="AC33" s="64"/>
      <c r="AD33" s="64"/>
      <c r="AE33" s="112"/>
      <c r="AF33" s="112"/>
      <c r="AG33" s="112"/>
      <c r="AH33" s="112"/>
      <c r="AI33" s="112"/>
      <c r="AJ33" s="112"/>
    </row>
    <row r="34" spans="1:36" s="57" customFormat="1" ht="25.5">
      <c r="A34" s="28"/>
      <c r="B34" s="28"/>
      <c r="C34" s="28" t="s">
        <v>25</v>
      </c>
      <c r="D34" s="29" t="s">
        <v>24</v>
      </c>
      <c r="E34" s="134"/>
      <c r="F34" s="44"/>
      <c r="G34" s="72">
        <f>COUNTIF(C11:C33,"*")</f>
        <v>18</v>
      </c>
      <c r="H34" s="72"/>
      <c r="I34" s="72"/>
      <c r="J34" s="72"/>
      <c r="K34" s="72"/>
      <c r="L34" s="28"/>
      <c r="M34" s="28">
        <f>COUNTIF(M11:M33,"*")</f>
        <v>0</v>
      </c>
      <c r="N34" s="28">
        <f>COUNTIF(N11:N33,"*")</f>
        <v>2</v>
      </c>
      <c r="O34" s="28">
        <f>COUNTIF(O11:O33,"*")</f>
        <v>17</v>
      </c>
      <c r="P34" s="28">
        <f>COUNTIF(P11:P33,"*")</f>
        <v>1</v>
      </c>
      <c r="Q34" s="28">
        <f aca="true" t="shared" si="0" ref="Q34:X34">IF(SUM(Q11:Q33)&gt;0,SUM(Q11:Q33)," ")</f>
        <v>52</v>
      </c>
      <c r="R34" s="28">
        <f t="shared" si="0"/>
        <v>44</v>
      </c>
      <c r="S34" s="28">
        <f t="shared" si="0"/>
        <v>1327.37</v>
      </c>
      <c r="T34" s="28">
        <f t="shared" si="0"/>
        <v>1327.37</v>
      </c>
      <c r="U34" s="28" t="str">
        <f t="shared" si="0"/>
        <v> </v>
      </c>
      <c r="V34" s="28">
        <f t="shared" si="0"/>
        <v>789.3499999999999</v>
      </c>
      <c r="W34" s="28">
        <f t="shared" si="0"/>
        <v>789.3499999999999</v>
      </c>
      <c r="X34" s="28" t="str">
        <f t="shared" si="0"/>
        <v> </v>
      </c>
      <c r="Y34" s="28"/>
      <c r="Z34" s="28"/>
      <c r="AA34" s="28">
        <f aca="true" t="shared" si="1" ref="AA34:AF34">COUNTIF(AA11:AA33,"*")</f>
        <v>10</v>
      </c>
      <c r="AB34" s="28">
        <f t="shared" si="1"/>
        <v>2</v>
      </c>
      <c r="AC34" s="28">
        <f t="shared" si="1"/>
        <v>14</v>
      </c>
      <c r="AD34" s="28">
        <f t="shared" si="1"/>
        <v>14</v>
      </c>
      <c r="AE34" s="28">
        <f t="shared" si="1"/>
        <v>0</v>
      </c>
      <c r="AF34" s="28">
        <f t="shared" si="1"/>
        <v>0</v>
      </c>
      <c r="AG34" s="73"/>
      <c r="AH34" s="73"/>
      <c r="AI34" s="73"/>
      <c r="AJ34" s="73"/>
    </row>
    <row r="35" spans="1:25" ht="18.75">
      <c r="A35" s="13" t="s">
        <v>14</v>
      </c>
      <c r="B35" s="13"/>
      <c r="C35" s="14"/>
      <c r="D35" s="15"/>
      <c r="E35" s="135"/>
      <c r="F35" s="15"/>
      <c r="G35" s="15"/>
      <c r="H35" s="15"/>
      <c r="I35" s="15"/>
      <c r="J35" s="15" t="s">
        <v>15</v>
      </c>
      <c r="K35" s="15"/>
      <c r="L35" s="15"/>
      <c r="M35" s="15"/>
      <c r="N35" s="15"/>
      <c r="O35" s="15" t="s">
        <v>15</v>
      </c>
      <c r="P35" s="15"/>
      <c r="Q35" s="16"/>
      <c r="R35" s="16"/>
      <c r="S35" s="16"/>
      <c r="T35" s="16"/>
      <c r="U35" s="16"/>
      <c r="V35" s="16"/>
      <c r="W35" s="16" t="s">
        <v>15</v>
      </c>
      <c r="X35" s="16"/>
      <c r="Y35" s="17"/>
    </row>
    <row r="36" spans="1:36" s="176" customFormat="1" ht="63.75">
      <c r="A36" s="169">
        <v>1</v>
      </c>
      <c r="B36" s="170" t="s">
        <v>774</v>
      </c>
      <c r="C36" s="171" t="s">
        <v>348</v>
      </c>
      <c r="D36" s="171" t="s">
        <v>876</v>
      </c>
      <c r="E36" s="172"/>
      <c r="F36" s="171" t="s">
        <v>301</v>
      </c>
      <c r="G36" s="171" t="s">
        <v>302</v>
      </c>
      <c r="H36" s="171" t="s">
        <v>303</v>
      </c>
      <c r="I36" s="171" t="s">
        <v>878</v>
      </c>
      <c r="J36" s="171" t="s">
        <v>340</v>
      </c>
      <c r="K36" s="171"/>
      <c r="L36" s="171" t="s">
        <v>341</v>
      </c>
      <c r="M36" s="171"/>
      <c r="N36" s="171"/>
      <c r="O36" s="171"/>
      <c r="P36" s="171" t="s">
        <v>222</v>
      </c>
      <c r="Q36" s="171">
        <v>2</v>
      </c>
      <c r="R36" s="171">
        <v>2</v>
      </c>
      <c r="S36" s="171">
        <v>54</v>
      </c>
      <c r="T36" s="171"/>
      <c r="U36" s="171">
        <v>54</v>
      </c>
      <c r="V36" s="171">
        <v>78.9</v>
      </c>
      <c r="W36" s="171">
        <v>18</v>
      </c>
      <c r="X36" s="171">
        <v>78.9</v>
      </c>
      <c r="Y36" s="173" t="s">
        <v>223</v>
      </c>
      <c r="Z36" s="173" t="s">
        <v>235</v>
      </c>
      <c r="AA36" s="174"/>
      <c r="AB36" s="173"/>
      <c r="AC36" s="173"/>
      <c r="AD36" s="173"/>
      <c r="AE36" s="175"/>
      <c r="AF36" s="175"/>
      <c r="AG36" s="175"/>
      <c r="AH36" s="175" t="s">
        <v>222</v>
      </c>
      <c r="AI36" s="175"/>
      <c r="AJ36" s="175"/>
    </row>
    <row r="37" spans="1:36" s="186" customFormat="1" ht="140.25">
      <c r="A37" s="177">
        <v>2</v>
      </c>
      <c r="B37" s="178" t="s">
        <v>774</v>
      </c>
      <c r="C37" s="179" t="s">
        <v>342</v>
      </c>
      <c r="D37" s="180" t="s">
        <v>343</v>
      </c>
      <c r="E37" s="181"/>
      <c r="F37" s="180" t="s">
        <v>879</v>
      </c>
      <c r="G37" s="180"/>
      <c r="H37" s="180" t="s">
        <v>880</v>
      </c>
      <c r="I37" s="180" t="s">
        <v>880</v>
      </c>
      <c r="J37" s="180" t="s">
        <v>344</v>
      </c>
      <c r="K37" s="180"/>
      <c r="L37" s="180" t="s">
        <v>345</v>
      </c>
      <c r="M37" s="180"/>
      <c r="N37" s="180"/>
      <c r="O37" s="180"/>
      <c r="P37" s="180" t="s">
        <v>222</v>
      </c>
      <c r="Q37" s="180">
        <v>7</v>
      </c>
      <c r="R37" s="182">
        <v>5</v>
      </c>
      <c r="S37" s="179">
        <v>158.4</v>
      </c>
      <c r="T37" s="179"/>
      <c r="U37" s="179">
        <v>158.4</v>
      </c>
      <c r="V37" s="179">
        <v>76.5</v>
      </c>
      <c r="W37" s="179"/>
      <c r="X37" s="179">
        <v>76.5</v>
      </c>
      <c r="Y37" s="183" t="s">
        <v>223</v>
      </c>
      <c r="Z37" s="183" t="s">
        <v>235</v>
      </c>
      <c r="AA37" s="184"/>
      <c r="AB37" s="183"/>
      <c r="AC37" s="183"/>
      <c r="AD37" s="183"/>
      <c r="AE37" s="185"/>
      <c r="AF37" s="185"/>
      <c r="AG37" s="185"/>
      <c r="AH37" s="185"/>
      <c r="AI37" s="185"/>
      <c r="AJ37" s="185"/>
    </row>
    <row r="38" spans="1:36" s="124" customFormat="1" ht="63.75">
      <c r="A38" s="155">
        <v>3</v>
      </c>
      <c r="B38" s="58" t="s">
        <v>774</v>
      </c>
      <c r="C38" s="114" t="s">
        <v>771</v>
      </c>
      <c r="D38" s="121" t="s">
        <v>683</v>
      </c>
      <c r="E38" s="137" t="s">
        <v>347</v>
      </c>
      <c r="F38" s="121" t="s">
        <v>684</v>
      </c>
      <c r="G38" s="121" t="s">
        <v>801</v>
      </c>
      <c r="H38" s="121" t="s">
        <v>773</v>
      </c>
      <c r="I38" s="121" t="s">
        <v>773</v>
      </c>
      <c r="J38" s="121" t="s">
        <v>772</v>
      </c>
      <c r="K38" s="121"/>
      <c r="L38" s="121" t="s">
        <v>313</v>
      </c>
      <c r="M38" s="121"/>
      <c r="N38" s="121"/>
      <c r="O38" s="121"/>
      <c r="P38" s="121" t="s">
        <v>222</v>
      </c>
      <c r="Q38" s="121">
        <v>3</v>
      </c>
      <c r="R38" s="122">
        <v>2</v>
      </c>
      <c r="S38" s="114">
        <v>100</v>
      </c>
      <c r="T38" s="114"/>
      <c r="U38" s="114">
        <v>100</v>
      </c>
      <c r="V38" s="114">
        <v>75</v>
      </c>
      <c r="W38" s="114"/>
      <c r="X38" s="114">
        <v>75</v>
      </c>
      <c r="Y38" s="116" t="s">
        <v>223</v>
      </c>
      <c r="Z38" s="116" t="s">
        <v>224</v>
      </c>
      <c r="AA38" s="117"/>
      <c r="AB38" s="116"/>
      <c r="AC38" s="116"/>
      <c r="AD38" s="116"/>
      <c r="AE38" s="123"/>
      <c r="AF38" s="123"/>
      <c r="AG38" s="123"/>
      <c r="AH38" s="123"/>
      <c r="AI38" s="123"/>
      <c r="AJ38" s="123"/>
    </row>
    <row r="39" spans="1:36" s="6" customFormat="1" ht="38.25">
      <c r="A39" s="154">
        <v>4</v>
      </c>
      <c r="B39" s="58" t="s">
        <v>774</v>
      </c>
      <c r="C39" s="8" t="s">
        <v>927</v>
      </c>
      <c r="D39" s="51" t="s">
        <v>306</v>
      </c>
      <c r="E39" s="136" t="s">
        <v>349</v>
      </c>
      <c r="F39" s="51" t="s">
        <v>350</v>
      </c>
      <c r="G39" s="51"/>
      <c r="H39" s="51" t="s">
        <v>351</v>
      </c>
      <c r="I39" s="51" t="s">
        <v>351</v>
      </c>
      <c r="J39" s="51" t="s">
        <v>352</v>
      </c>
      <c r="K39" s="51"/>
      <c r="L39" s="51" t="s">
        <v>353</v>
      </c>
      <c r="M39" s="51"/>
      <c r="N39" s="51"/>
      <c r="O39" s="51" t="s">
        <v>222</v>
      </c>
      <c r="P39" s="51"/>
      <c r="Q39" s="51">
        <v>2</v>
      </c>
      <c r="R39" s="68">
        <v>2</v>
      </c>
      <c r="S39" s="8">
        <v>21</v>
      </c>
      <c r="T39" s="8"/>
      <c r="U39" s="8">
        <v>21</v>
      </c>
      <c r="V39" s="8">
        <v>15</v>
      </c>
      <c r="W39" s="8"/>
      <c r="X39" s="8">
        <v>15</v>
      </c>
      <c r="Y39" s="64" t="s">
        <v>223</v>
      </c>
      <c r="Z39" s="64" t="s">
        <v>224</v>
      </c>
      <c r="AA39" s="67"/>
      <c r="AB39" s="64"/>
      <c r="AC39" s="64"/>
      <c r="AD39" s="64"/>
      <c r="AE39" s="112"/>
      <c r="AF39" s="112"/>
      <c r="AG39" s="112"/>
      <c r="AH39" s="112"/>
      <c r="AI39" s="112"/>
      <c r="AJ39" s="112"/>
    </row>
    <row r="40" spans="1:36" s="6" customFormat="1" ht="63.75">
      <c r="A40" s="154">
        <v>5</v>
      </c>
      <c r="B40" s="58" t="s">
        <v>774</v>
      </c>
      <c r="C40" s="8" t="s">
        <v>358</v>
      </c>
      <c r="D40" s="51" t="s">
        <v>359</v>
      </c>
      <c r="E40" s="136"/>
      <c r="F40" s="51" t="s">
        <v>360</v>
      </c>
      <c r="G40" s="51" t="s">
        <v>361</v>
      </c>
      <c r="H40" s="51" t="s">
        <v>362</v>
      </c>
      <c r="I40" s="51" t="s">
        <v>362</v>
      </c>
      <c r="J40" s="51" t="s">
        <v>363</v>
      </c>
      <c r="K40" s="51"/>
      <c r="L40" s="51" t="s">
        <v>357</v>
      </c>
      <c r="M40" s="51"/>
      <c r="N40" s="51"/>
      <c r="O40" s="51" t="s">
        <v>222</v>
      </c>
      <c r="P40" s="51"/>
      <c r="Q40" s="51">
        <v>1</v>
      </c>
      <c r="R40" s="68">
        <v>1</v>
      </c>
      <c r="S40" s="8">
        <v>12</v>
      </c>
      <c r="T40" s="8"/>
      <c r="U40" s="8">
        <v>12</v>
      </c>
      <c r="V40" s="8">
        <v>7</v>
      </c>
      <c r="W40" s="8"/>
      <c r="X40" s="8">
        <v>7</v>
      </c>
      <c r="Y40" s="64" t="s">
        <v>223</v>
      </c>
      <c r="Z40" s="64" t="s">
        <v>224</v>
      </c>
      <c r="AA40" s="67"/>
      <c r="AB40" s="64"/>
      <c r="AC40" s="64"/>
      <c r="AD40" s="64"/>
      <c r="AE40" s="112"/>
      <c r="AF40" s="112"/>
      <c r="AG40" s="112"/>
      <c r="AH40" s="112"/>
      <c r="AI40" s="112"/>
      <c r="AJ40" s="112"/>
    </row>
    <row r="41" spans="1:36" s="6" customFormat="1" ht="51">
      <c r="A41" s="154">
        <v>6</v>
      </c>
      <c r="B41" s="58" t="s">
        <v>774</v>
      </c>
      <c r="C41" s="8" t="s">
        <v>364</v>
      </c>
      <c r="D41" s="51" t="s">
        <v>365</v>
      </c>
      <c r="E41" s="136"/>
      <c r="F41" s="51" t="s">
        <v>366</v>
      </c>
      <c r="G41" s="51"/>
      <c r="H41" s="51" t="s">
        <v>790</v>
      </c>
      <c r="I41" s="51" t="s">
        <v>791</v>
      </c>
      <c r="J41" s="51" t="s">
        <v>367</v>
      </c>
      <c r="K41" s="51"/>
      <c r="L41" s="51" t="s">
        <v>285</v>
      </c>
      <c r="M41" s="51"/>
      <c r="N41" s="51"/>
      <c r="O41" s="51" t="s">
        <v>222</v>
      </c>
      <c r="P41" s="51"/>
      <c r="Q41" s="51">
        <v>4</v>
      </c>
      <c r="R41" s="68">
        <v>3</v>
      </c>
      <c r="S41" s="8">
        <v>38.2</v>
      </c>
      <c r="T41" s="8"/>
      <c r="U41" s="8">
        <v>38.2</v>
      </c>
      <c r="V41" s="8">
        <v>29.8</v>
      </c>
      <c r="W41" s="8"/>
      <c r="X41" s="8">
        <v>29.8</v>
      </c>
      <c r="Y41" s="64" t="s">
        <v>223</v>
      </c>
      <c r="Z41" s="64" t="s">
        <v>224</v>
      </c>
      <c r="AA41" s="67"/>
      <c r="AB41" s="64"/>
      <c r="AC41" s="64"/>
      <c r="AD41" s="64"/>
      <c r="AE41" s="112"/>
      <c r="AF41" s="112"/>
      <c r="AG41" s="112"/>
      <c r="AH41" s="112"/>
      <c r="AI41" s="112"/>
      <c r="AJ41" s="112"/>
    </row>
    <row r="42" spans="1:36" s="6" customFormat="1" ht="140.25">
      <c r="A42" s="154">
        <v>7</v>
      </c>
      <c r="B42" s="58" t="s">
        <v>774</v>
      </c>
      <c r="C42" s="8" t="s">
        <v>368</v>
      </c>
      <c r="D42" s="51" t="s">
        <v>369</v>
      </c>
      <c r="E42" s="136" t="s">
        <v>370</v>
      </c>
      <c r="F42" s="51" t="s">
        <v>371</v>
      </c>
      <c r="G42" s="51"/>
      <c r="H42" s="51" t="s">
        <v>372</v>
      </c>
      <c r="I42" s="51" t="s">
        <v>372</v>
      </c>
      <c r="J42" s="51" t="s">
        <v>373</v>
      </c>
      <c r="K42" s="51"/>
      <c r="L42" s="51" t="s">
        <v>374</v>
      </c>
      <c r="M42" s="51"/>
      <c r="N42" s="51"/>
      <c r="O42" s="51"/>
      <c r="P42" s="51" t="s">
        <v>222</v>
      </c>
      <c r="Q42" s="51">
        <v>1</v>
      </c>
      <c r="R42" s="68">
        <v>1</v>
      </c>
      <c r="S42" s="8">
        <v>23.2</v>
      </c>
      <c r="T42" s="8"/>
      <c r="U42" s="8">
        <v>23.2</v>
      </c>
      <c r="V42" s="8">
        <v>23.2</v>
      </c>
      <c r="W42" s="8"/>
      <c r="X42" s="8">
        <v>23.2</v>
      </c>
      <c r="Y42" s="64" t="s">
        <v>223</v>
      </c>
      <c r="Z42" s="64" t="s">
        <v>224</v>
      </c>
      <c r="AA42" s="67"/>
      <c r="AB42" s="64"/>
      <c r="AC42" s="64"/>
      <c r="AD42" s="64"/>
      <c r="AE42" s="112"/>
      <c r="AF42" s="112"/>
      <c r="AG42" s="112"/>
      <c r="AH42" s="112" t="s">
        <v>222</v>
      </c>
      <c r="AI42" s="112"/>
      <c r="AJ42" s="112"/>
    </row>
    <row r="43" spans="1:36" s="186" customFormat="1" ht="76.5">
      <c r="A43" s="177">
        <v>8</v>
      </c>
      <c r="B43" s="178" t="s">
        <v>774</v>
      </c>
      <c r="C43" s="187" t="s">
        <v>375</v>
      </c>
      <c r="D43" s="188" t="s">
        <v>369</v>
      </c>
      <c r="E43" s="181" t="s">
        <v>376</v>
      </c>
      <c r="F43" s="188" t="s">
        <v>377</v>
      </c>
      <c r="G43" s="188"/>
      <c r="H43" s="188" t="s">
        <v>378</v>
      </c>
      <c r="I43" s="188" t="s">
        <v>378</v>
      </c>
      <c r="J43" s="188" t="s">
        <v>379</v>
      </c>
      <c r="K43" s="188"/>
      <c r="L43" s="188" t="s">
        <v>285</v>
      </c>
      <c r="M43" s="188"/>
      <c r="N43" s="188"/>
      <c r="O43" s="188" t="s">
        <v>222</v>
      </c>
      <c r="P43" s="188"/>
      <c r="Q43" s="188">
        <v>3</v>
      </c>
      <c r="R43" s="189">
        <v>3</v>
      </c>
      <c r="S43" s="187">
        <v>72.6</v>
      </c>
      <c r="T43" s="187"/>
      <c r="U43" s="187">
        <v>72.6</v>
      </c>
      <c r="V43" s="187">
        <v>47.6</v>
      </c>
      <c r="W43" s="187"/>
      <c r="X43" s="187">
        <v>47.6</v>
      </c>
      <c r="Y43" s="183" t="s">
        <v>223</v>
      </c>
      <c r="Z43" s="183" t="s">
        <v>224</v>
      </c>
      <c r="AA43" s="184"/>
      <c r="AB43" s="183"/>
      <c r="AC43" s="183"/>
      <c r="AD43" s="183"/>
      <c r="AE43" s="185"/>
      <c r="AF43" s="185"/>
      <c r="AG43" s="185"/>
      <c r="AH43" s="185" t="s">
        <v>222</v>
      </c>
      <c r="AI43" s="185"/>
      <c r="AJ43" s="185"/>
    </row>
    <row r="44" spans="1:36" s="176" customFormat="1" ht="51">
      <c r="A44" s="169">
        <v>9</v>
      </c>
      <c r="B44" s="170" t="s">
        <v>785</v>
      </c>
      <c r="C44" s="190" t="s">
        <v>348</v>
      </c>
      <c r="D44" s="191" t="s">
        <v>380</v>
      </c>
      <c r="E44" s="192"/>
      <c r="F44" s="191" t="s">
        <v>381</v>
      </c>
      <c r="G44" s="191"/>
      <c r="H44" s="191" t="s">
        <v>382</v>
      </c>
      <c r="I44" s="191" t="s">
        <v>382</v>
      </c>
      <c r="J44" s="191" t="s">
        <v>352</v>
      </c>
      <c r="K44" s="191"/>
      <c r="L44" s="191" t="s">
        <v>341</v>
      </c>
      <c r="M44" s="191"/>
      <c r="N44" s="191"/>
      <c r="O44" s="191"/>
      <c r="P44" s="191"/>
      <c r="Q44" s="191">
        <v>2</v>
      </c>
      <c r="R44" s="193">
        <v>2</v>
      </c>
      <c r="S44" s="190">
        <v>38.4</v>
      </c>
      <c r="T44" s="190"/>
      <c r="U44" s="190">
        <v>38.4</v>
      </c>
      <c r="V44" s="190">
        <v>35.8</v>
      </c>
      <c r="W44" s="190"/>
      <c r="X44" s="190">
        <v>35.8</v>
      </c>
      <c r="Y44" s="173" t="s">
        <v>223</v>
      </c>
      <c r="Z44" s="173" t="s">
        <v>235</v>
      </c>
      <c r="AA44" s="174" t="s">
        <v>222</v>
      </c>
      <c r="AB44" s="173"/>
      <c r="AC44" s="173"/>
      <c r="AD44" s="173"/>
      <c r="AE44" s="175"/>
      <c r="AF44" s="175"/>
      <c r="AG44" s="175"/>
      <c r="AH44" s="175"/>
      <c r="AI44" s="175"/>
      <c r="AJ44" s="175"/>
    </row>
    <row r="45" spans="1:36" s="6" customFormat="1" ht="76.5">
      <c r="A45" s="154">
        <v>10</v>
      </c>
      <c r="B45" s="58" t="s">
        <v>774</v>
      </c>
      <c r="C45" s="8" t="s">
        <v>383</v>
      </c>
      <c r="D45" s="51" t="s">
        <v>384</v>
      </c>
      <c r="E45" s="136" t="s">
        <v>354</v>
      </c>
      <c r="F45" s="51" t="s">
        <v>355</v>
      </c>
      <c r="G45" s="51"/>
      <c r="H45" s="51" t="s">
        <v>356</v>
      </c>
      <c r="I45" s="51" t="s">
        <v>356</v>
      </c>
      <c r="J45" s="51" t="s">
        <v>379</v>
      </c>
      <c r="K45" s="51"/>
      <c r="L45" s="51" t="s">
        <v>357</v>
      </c>
      <c r="M45" s="51"/>
      <c r="N45" s="51"/>
      <c r="O45" s="51" t="s">
        <v>222</v>
      </c>
      <c r="P45" s="51"/>
      <c r="Q45" s="51">
        <v>3</v>
      </c>
      <c r="R45" s="68">
        <v>3</v>
      </c>
      <c r="S45" s="8">
        <v>187.4</v>
      </c>
      <c r="T45" s="8"/>
      <c r="U45" s="8">
        <v>187.4</v>
      </c>
      <c r="V45" s="8">
        <v>169.8</v>
      </c>
      <c r="W45" s="8"/>
      <c r="X45" s="8">
        <v>169.8</v>
      </c>
      <c r="Y45" s="64" t="s">
        <v>223</v>
      </c>
      <c r="Z45" s="64" t="s">
        <v>224</v>
      </c>
      <c r="AA45" s="67"/>
      <c r="AB45" s="64"/>
      <c r="AC45" s="64"/>
      <c r="AD45" s="64"/>
      <c r="AE45" s="112"/>
      <c r="AF45" s="112"/>
      <c r="AG45" s="112"/>
      <c r="AH45" s="112"/>
      <c r="AI45" s="112"/>
      <c r="AJ45" s="112"/>
    </row>
    <row r="46" spans="1:36" s="176" customFormat="1" ht="38.25">
      <c r="A46" s="169">
        <v>11</v>
      </c>
      <c r="B46" s="170" t="s">
        <v>785</v>
      </c>
      <c r="C46" s="190" t="s">
        <v>348</v>
      </c>
      <c r="D46" s="191" t="s">
        <v>385</v>
      </c>
      <c r="E46" s="192" t="s">
        <v>386</v>
      </c>
      <c r="F46" s="191" t="s">
        <v>387</v>
      </c>
      <c r="G46" s="191"/>
      <c r="H46" s="191" t="s">
        <v>388</v>
      </c>
      <c r="I46" s="191" t="s">
        <v>388</v>
      </c>
      <c r="J46" s="191" t="s">
        <v>352</v>
      </c>
      <c r="K46" s="191"/>
      <c r="L46" s="191" t="s">
        <v>313</v>
      </c>
      <c r="M46" s="191"/>
      <c r="N46" s="191"/>
      <c r="O46" s="191" t="s">
        <v>222</v>
      </c>
      <c r="P46" s="191"/>
      <c r="Q46" s="191">
        <v>2</v>
      </c>
      <c r="R46" s="193">
        <v>2</v>
      </c>
      <c r="S46" s="190">
        <v>127.3</v>
      </c>
      <c r="T46" s="190"/>
      <c r="U46" s="190">
        <v>127.3</v>
      </c>
      <c r="V46" s="190">
        <v>98.4</v>
      </c>
      <c r="W46" s="190"/>
      <c r="X46" s="190">
        <v>98.4</v>
      </c>
      <c r="Y46" s="173" t="s">
        <v>223</v>
      </c>
      <c r="Z46" s="173" t="s">
        <v>235</v>
      </c>
      <c r="AA46" s="174" t="s">
        <v>222</v>
      </c>
      <c r="AB46" s="173"/>
      <c r="AC46" s="173"/>
      <c r="AD46" s="173"/>
      <c r="AE46" s="175"/>
      <c r="AF46" s="175"/>
      <c r="AG46" s="175"/>
      <c r="AH46" s="175"/>
      <c r="AI46" s="175"/>
      <c r="AJ46" s="175"/>
    </row>
    <row r="47" spans="1:36" s="186" customFormat="1" ht="76.5">
      <c r="A47" s="177">
        <v>12</v>
      </c>
      <c r="B47" s="178" t="s">
        <v>774</v>
      </c>
      <c r="C47" s="187" t="s">
        <v>389</v>
      </c>
      <c r="D47" s="188" t="s">
        <v>390</v>
      </c>
      <c r="E47" s="181" t="s">
        <v>391</v>
      </c>
      <c r="F47" s="188" t="s">
        <v>392</v>
      </c>
      <c r="G47" s="188"/>
      <c r="H47" s="188" t="s">
        <v>393</v>
      </c>
      <c r="I47" s="188" t="s">
        <v>393</v>
      </c>
      <c r="J47" s="188" t="s">
        <v>394</v>
      </c>
      <c r="K47" s="188"/>
      <c r="L47" s="188" t="s">
        <v>395</v>
      </c>
      <c r="M47" s="188"/>
      <c r="N47" s="188"/>
      <c r="O47" s="188" t="s">
        <v>222</v>
      </c>
      <c r="P47" s="188"/>
      <c r="Q47" s="188">
        <v>9</v>
      </c>
      <c r="R47" s="189">
        <v>6</v>
      </c>
      <c r="S47" s="187">
        <v>400</v>
      </c>
      <c r="T47" s="187"/>
      <c r="U47" s="187">
        <v>400</v>
      </c>
      <c r="V47" s="187">
        <v>170</v>
      </c>
      <c r="W47" s="187"/>
      <c r="X47" s="187">
        <v>170</v>
      </c>
      <c r="Y47" s="183" t="s">
        <v>223</v>
      </c>
      <c r="Z47" s="183" t="s">
        <v>235</v>
      </c>
      <c r="AA47" s="184" t="s">
        <v>222</v>
      </c>
      <c r="AB47" s="183"/>
      <c r="AC47" s="183"/>
      <c r="AD47" s="183"/>
      <c r="AE47" s="185"/>
      <c r="AF47" s="185"/>
      <c r="AG47" s="185"/>
      <c r="AH47" s="185"/>
      <c r="AI47" s="185"/>
      <c r="AJ47" s="185"/>
    </row>
    <row r="48" spans="1:36" s="6" customFormat="1" ht="51">
      <c r="A48" s="154">
        <v>13</v>
      </c>
      <c r="B48" s="58" t="s">
        <v>774</v>
      </c>
      <c r="C48" s="8" t="s">
        <v>396</v>
      </c>
      <c r="D48" s="51" t="s">
        <v>397</v>
      </c>
      <c r="E48" s="136" t="s">
        <v>802</v>
      </c>
      <c r="F48" s="51" t="s">
        <v>398</v>
      </c>
      <c r="G48" s="51"/>
      <c r="H48" s="51" t="s">
        <v>399</v>
      </c>
      <c r="I48" s="51" t="s">
        <v>399</v>
      </c>
      <c r="J48" s="51" t="s">
        <v>400</v>
      </c>
      <c r="K48" s="51"/>
      <c r="L48" s="51" t="s">
        <v>341</v>
      </c>
      <c r="M48" s="51"/>
      <c r="N48" s="51"/>
      <c r="O48" s="51"/>
      <c r="P48" s="51" t="s">
        <v>222</v>
      </c>
      <c r="Q48" s="51">
        <v>4</v>
      </c>
      <c r="R48" s="68">
        <v>2</v>
      </c>
      <c r="S48" s="8">
        <v>51.9</v>
      </c>
      <c r="T48" s="8"/>
      <c r="U48" s="8">
        <v>51.9</v>
      </c>
      <c r="V48" s="8">
        <v>40</v>
      </c>
      <c r="W48" s="8"/>
      <c r="X48" s="8">
        <v>40</v>
      </c>
      <c r="Y48" s="64" t="s">
        <v>223</v>
      </c>
      <c r="Z48" s="64" t="s">
        <v>235</v>
      </c>
      <c r="AA48" s="67"/>
      <c r="AB48" s="64"/>
      <c r="AC48" s="64"/>
      <c r="AD48" s="64"/>
      <c r="AE48" s="112"/>
      <c r="AF48" s="112"/>
      <c r="AG48" s="112"/>
      <c r="AH48" s="112"/>
      <c r="AI48" s="112"/>
      <c r="AJ48" s="112"/>
    </row>
    <row r="49" spans="1:36" s="6" customFormat="1" ht="63.75">
      <c r="A49" s="154">
        <v>14</v>
      </c>
      <c r="B49" s="58" t="s">
        <v>774</v>
      </c>
      <c r="C49" s="8" t="s">
        <v>401</v>
      </c>
      <c r="D49" s="51" t="s">
        <v>402</v>
      </c>
      <c r="E49" s="136">
        <v>9066656666</v>
      </c>
      <c r="F49" s="51" t="s">
        <v>301</v>
      </c>
      <c r="G49" s="51" t="s">
        <v>302</v>
      </c>
      <c r="H49" s="51" t="s">
        <v>303</v>
      </c>
      <c r="I49" s="51" t="s">
        <v>303</v>
      </c>
      <c r="J49" s="51" t="s">
        <v>403</v>
      </c>
      <c r="K49" s="51"/>
      <c r="L49" s="51" t="s">
        <v>313</v>
      </c>
      <c r="M49" s="51"/>
      <c r="N49" s="51"/>
      <c r="O49" s="51"/>
      <c r="P49" s="51" t="s">
        <v>222</v>
      </c>
      <c r="Q49" s="51">
        <v>4</v>
      </c>
      <c r="R49" s="68">
        <v>2</v>
      </c>
      <c r="S49" s="8">
        <v>100</v>
      </c>
      <c r="T49" s="8"/>
      <c r="U49" s="8">
        <v>100</v>
      </c>
      <c r="V49" s="8">
        <v>90</v>
      </c>
      <c r="W49" s="8"/>
      <c r="X49" s="8">
        <v>90</v>
      </c>
      <c r="Y49" s="64" t="s">
        <v>223</v>
      </c>
      <c r="Z49" s="64" t="s">
        <v>224</v>
      </c>
      <c r="AA49" s="67" t="s">
        <v>222</v>
      </c>
      <c r="AB49" s="64"/>
      <c r="AC49" s="64"/>
      <c r="AD49" s="64"/>
      <c r="AE49" s="112"/>
      <c r="AF49" s="112"/>
      <c r="AG49" s="112"/>
      <c r="AH49" s="112" t="s">
        <v>222</v>
      </c>
      <c r="AI49" s="112"/>
      <c r="AJ49" s="112"/>
    </row>
    <row r="50" spans="1:36" s="186" customFormat="1" ht="89.25">
      <c r="A50" s="177">
        <v>15</v>
      </c>
      <c r="B50" s="178" t="s">
        <v>774</v>
      </c>
      <c r="C50" s="187" t="s">
        <v>404</v>
      </c>
      <c r="D50" s="188" t="s">
        <v>369</v>
      </c>
      <c r="E50" s="181" t="s">
        <v>405</v>
      </c>
      <c r="F50" s="188" t="s">
        <v>406</v>
      </c>
      <c r="G50" s="188"/>
      <c r="H50" s="188" t="s">
        <v>407</v>
      </c>
      <c r="I50" s="188" t="s">
        <v>407</v>
      </c>
      <c r="J50" s="188" t="s">
        <v>394</v>
      </c>
      <c r="K50" s="188"/>
      <c r="L50" s="188" t="s">
        <v>408</v>
      </c>
      <c r="M50" s="188"/>
      <c r="N50" s="188"/>
      <c r="O50" s="188"/>
      <c r="P50" s="188" t="s">
        <v>222</v>
      </c>
      <c r="Q50" s="188">
        <v>4</v>
      </c>
      <c r="R50" s="189">
        <v>3</v>
      </c>
      <c r="S50" s="187">
        <v>112.9</v>
      </c>
      <c r="T50" s="187"/>
      <c r="U50" s="187">
        <v>112.9</v>
      </c>
      <c r="V50" s="187">
        <v>44</v>
      </c>
      <c r="W50" s="187"/>
      <c r="X50" s="187">
        <v>44</v>
      </c>
      <c r="Y50" s="183" t="s">
        <v>223</v>
      </c>
      <c r="Z50" s="183" t="s">
        <v>224</v>
      </c>
      <c r="AA50" s="184"/>
      <c r="AB50" s="183"/>
      <c r="AC50" s="183"/>
      <c r="AD50" s="183"/>
      <c r="AE50" s="185"/>
      <c r="AF50" s="185"/>
      <c r="AG50" s="185"/>
      <c r="AH50" s="185"/>
      <c r="AI50" s="185"/>
      <c r="AJ50" s="185"/>
    </row>
    <row r="51" spans="1:36" s="186" customFormat="1" ht="89.25">
      <c r="A51" s="177">
        <v>16</v>
      </c>
      <c r="B51" s="178" t="s">
        <v>774</v>
      </c>
      <c r="C51" s="187" t="s">
        <v>409</v>
      </c>
      <c r="D51" s="188" t="s">
        <v>272</v>
      </c>
      <c r="E51" s="181" t="s">
        <v>410</v>
      </c>
      <c r="F51" s="188" t="s">
        <v>411</v>
      </c>
      <c r="G51" s="188" t="s">
        <v>412</v>
      </c>
      <c r="H51" s="188" t="s">
        <v>413</v>
      </c>
      <c r="I51" s="188" t="s">
        <v>413</v>
      </c>
      <c r="J51" s="188" t="s">
        <v>414</v>
      </c>
      <c r="K51" s="188"/>
      <c r="L51" s="188" t="s">
        <v>415</v>
      </c>
      <c r="M51" s="188"/>
      <c r="N51" s="188"/>
      <c r="O51" s="188"/>
      <c r="P51" s="188" t="s">
        <v>222</v>
      </c>
      <c r="Q51" s="188">
        <v>2</v>
      </c>
      <c r="R51" s="189">
        <v>1</v>
      </c>
      <c r="S51" s="187">
        <v>20</v>
      </c>
      <c r="T51" s="187"/>
      <c r="U51" s="187">
        <v>20</v>
      </c>
      <c r="V51" s="187">
        <v>20</v>
      </c>
      <c r="W51" s="187"/>
      <c r="X51" s="187">
        <v>20</v>
      </c>
      <c r="Y51" s="183" t="s">
        <v>223</v>
      </c>
      <c r="Z51" s="183" t="s">
        <v>224</v>
      </c>
      <c r="AA51" s="184"/>
      <c r="AB51" s="183"/>
      <c r="AC51" s="183"/>
      <c r="AD51" s="183"/>
      <c r="AE51" s="185"/>
      <c r="AF51" s="185"/>
      <c r="AG51" s="185"/>
      <c r="AH51" s="185"/>
      <c r="AI51" s="185"/>
      <c r="AJ51" s="185"/>
    </row>
    <row r="52" spans="1:36" s="6" customFormat="1" ht="63.75">
      <c r="A52" s="154">
        <v>17</v>
      </c>
      <c r="B52" s="58" t="s">
        <v>774</v>
      </c>
      <c r="C52" s="8" t="s">
        <v>416</v>
      </c>
      <c r="D52" s="51" t="s">
        <v>402</v>
      </c>
      <c r="E52" s="136" t="s">
        <v>300</v>
      </c>
      <c r="F52" s="51" t="s">
        <v>301</v>
      </c>
      <c r="G52" s="51" t="s">
        <v>302</v>
      </c>
      <c r="H52" s="51" t="s">
        <v>303</v>
      </c>
      <c r="I52" s="51" t="s">
        <v>303</v>
      </c>
      <c r="J52" s="51" t="s">
        <v>417</v>
      </c>
      <c r="K52" s="51"/>
      <c r="L52" s="51" t="s">
        <v>313</v>
      </c>
      <c r="M52" s="51"/>
      <c r="N52" s="51"/>
      <c r="O52" s="51"/>
      <c r="P52" s="51" t="s">
        <v>222</v>
      </c>
      <c r="Q52" s="51">
        <v>1</v>
      </c>
      <c r="R52" s="68">
        <v>1</v>
      </c>
      <c r="S52" s="8">
        <v>16</v>
      </c>
      <c r="T52" s="8"/>
      <c r="U52" s="8">
        <v>16</v>
      </c>
      <c r="V52" s="8">
        <v>16</v>
      </c>
      <c r="W52" s="8"/>
      <c r="X52" s="8">
        <v>16</v>
      </c>
      <c r="Y52" s="64" t="s">
        <v>223</v>
      </c>
      <c r="Z52" s="64" t="s">
        <v>224</v>
      </c>
      <c r="AA52" s="67" t="s">
        <v>222</v>
      </c>
      <c r="AB52" s="64"/>
      <c r="AC52" s="64"/>
      <c r="AD52" s="64"/>
      <c r="AE52" s="112"/>
      <c r="AF52" s="112"/>
      <c r="AG52" s="112"/>
      <c r="AH52" s="112" t="s">
        <v>222</v>
      </c>
      <c r="AI52" s="112"/>
      <c r="AJ52" s="112"/>
    </row>
    <row r="53" spans="1:36" s="186" customFormat="1" ht="38.25">
      <c r="A53" s="177">
        <v>18</v>
      </c>
      <c r="B53" s="178" t="s">
        <v>774</v>
      </c>
      <c r="C53" s="187" t="s">
        <v>348</v>
      </c>
      <c r="D53" s="188" t="s">
        <v>359</v>
      </c>
      <c r="E53" s="181"/>
      <c r="F53" s="188" t="s">
        <v>381</v>
      </c>
      <c r="G53" s="188"/>
      <c r="H53" s="188" t="s">
        <v>382</v>
      </c>
      <c r="I53" s="188" t="s">
        <v>382</v>
      </c>
      <c r="J53" s="188" t="s">
        <v>352</v>
      </c>
      <c r="K53" s="188"/>
      <c r="L53" s="188" t="s">
        <v>341</v>
      </c>
      <c r="M53" s="188"/>
      <c r="N53" s="188"/>
      <c r="O53" s="188" t="s">
        <v>222</v>
      </c>
      <c r="P53" s="188"/>
      <c r="Q53" s="188">
        <v>2</v>
      </c>
      <c r="R53" s="189">
        <v>2</v>
      </c>
      <c r="S53" s="187">
        <v>92.4</v>
      </c>
      <c r="T53" s="187"/>
      <c r="U53" s="187">
        <v>92.4</v>
      </c>
      <c r="V53" s="187">
        <v>41</v>
      </c>
      <c r="W53" s="187"/>
      <c r="X53" s="187">
        <v>41</v>
      </c>
      <c r="Y53" s="183" t="s">
        <v>223</v>
      </c>
      <c r="Z53" s="183" t="s">
        <v>235</v>
      </c>
      <c r="AA53" s="184" t="s">
        <v>222</v>
      </c>
      <c r="AB53" s="183"/>
      <c r="AC53" s="183"/>
      <c r="AD53" s="183"/>
      <c r="AE53" s="185"/>
      <c r="AF53" s="185"/>
      <c r="AG53" s="185"/>
      <c r="AH53" s="185"/>
      <c r="AI53" s="185"/>
      <c r="AJ53" s="185"/>
    </row>
    <row r="54" spans="1:36" s="186" customFormat="1" ht="63.75">
      <c r="A54" s="177">
        <v>19</v>
      </c>
      <c r="B54" s="178" t="s">
        <v>774</v>
      </c>
      <c r="C54" s="187" t="s">
        <v>418</v>
      </c>
      <c r="D54" s="188" t="s">
        <v>419</v>
      </c>
      <c r="E54" s="181" t="s">
        <v>420</v>
      </c>
      <c r="F54" s="188" t="s">
        <v>421</v>
      </c>
      <c r="G54" s="188" t="s">
        <v>422</v>
      </c>
      <c r="H54" s="188" t="s">
        <v>423</v>
      </c>
      <c r="I54" s="188" t="s">
        <v>423</v>
      </c>
      <c r="J54" s="188" t="s">
        <v>394</v>
      </c>
      <c r="K54" s="188"/>
      <c r="L54" s="188" t="s">
        <v>313</v>
      </c>
      <c r="M54" s="188"/>
      <c r="N54" s="188"/>
      <c r="O54" s="188"/>
      <c r="P54" s="188"/>
      <c r="Q54" s="188">
        <v>10</v>
      </c>
      <c r="R54" s="189">
        <v>8</v>
      </c>
      <c r="S54" s="187">
        <v>445.3</v>
      </c>
      <c r="T54" s="187"/>
      <c r="U54" s="187">
        <v>445.3</v>
      </c>
      <c r="V54" s="187">
        <v>191.3</v>
      </c>
      <c r="W54" s="187"/>
      <c r="X54" s="187">
        <v>191.3</v>
      </c>
      <c r="Y54" s="183" t="s">
        <v>223</v>
      </c>
      <c r="Z54" s="183" t="s">
        <v>235</v>
      </c>
      <c r="AA54" s="184"/>
      <c r="AB54" s="183"/>
      <c r="AC54" s="183"/>
      <c r="AD54" s="183"/>
      <c r="AE54" s="185"/>
      <c r="AF54" s="185"/>
      <c r="AG54" s="185"/>
      <c r="AH54" s="185"/>
      <c r="AI54" s="185"/>
      <c r="AJ54" s="185"/>
    </row>
    <row r="55" spans="1:36" s="6" customFormat="1" ht="38.25">
      <c r="A55" s="154">
        <v>20</v>
      </c>
      <c r="B55" s="58" t="s">
        <v>774</v>
      </c>
      <c r="C55" s="8" t="s">
        <v>856</v>
      </c>
      <c r="D55" s="51" t="s">
        <v>272</v>
      </c>
      <c r="E55" s="136" t="s">
        <v>296</v>
      </c>
      <c r="F55" s="51" t="s">
        <v>297</v>
      </c>
      <c r="G55" s="51"/>
      <c r="H55" s="51" t="s">
        <v>298</v>
      </c>
      <c r="I55" s="51" t="s">
        <v>298</v>
      </c>
      <c r="J55" s="51" t="s">
        <v>855</v>
      </c>
      <c r="K55" s="51"/>
      <c r="L55" s="51" t="s">
        <v>341</v>
      </c>
      <c r="M55" s="51"/>
      <c r="N55" s="51"/>
      <c r="O55" s="51"/>
      <c r="P55" s="51"/>
      <c r="Q55" s="51">
        <v>1</v>
      </c>
      <c r="R55" s="68">
        <v>1</v>
      </c>
      <c r="S55" s="8">
        <v>36</v>
      </c>
      <c r="T55" s="8"/>
      <c r="U55" s="8">
        <v>36</v>
      </c>
      <c r="V55" s="8">
        <v>24</v>
      </c>
      <c r="W55" s="8"/>
      <c r="X55" s="8">
        <v>24</v>
      </c>
      <c r="Y55" s="64" t="s">
        <v>223</v>
      </c>
      <c r="Z55" s="64" t="s">
        <v>224</v>
      </c>
      <c r="AA55" s="67" t="s">
        <v>222</v>
      </c>
      <c r="AB55" s="64"/>
      <c r="AC55" s="64"/>
      <c r="AD55" s="64"/>
      <c r="AE55" s="112"/>
      <c r="AF55" s="112"/>
      <c r="AG55" s="112"/>
      <c r="AH55" s="112"/>
      <c r="AI55" s="112"/>
      <c r="AJ55" s="112"/>
    </row>
    <row r="56" spans="1:36" s="186" customFormat="1" ht="38.25">
      <c r="A56" s="177">
        <v>21</v>
      </c>
      <c r="B56" s="178" t="s">
        <v>774</v>
      </c>
      <c r="C56" s="187" t="s">
        <v>424</v>
      </c>
      <c r="D56" s="188" t="s">
        <v>425</v>
      </c>
      <c r="E56" s="181" t="s">
        <v>426</v>
      </c>
      <c r="F56" s="188" t="s">
        <v>427</v>
      </c>
      <c r="G56" s="188"/>
      <c r="H56" s="188" t="s">
        <v>428</v>
      </c>
      <c r="I56" s="188" t="s">
        <v>428</v>
      </c>
      <c r="J56" s="188" t="s">
        <v>429</v>
      </c>
      <c r="K56" s="188"/>
      <c r="L56" s="188" t="s">
        <v>341</v>
      </c>
      <c r="M56" s="188"/>
      <c r="N56" s="188"/>
      <c r="O56" s="188" t="s">
        <v>222</v>
      </c>
      <c r="P56" s="188"/>
      <c r="Q56" s="188">
        <v>3</v>
      </c>
      <c r="R56" s="189">
        <v>2</v>
      </c>
      <c r="S56" s="187">
        <v>220</v>
      </c>
      <c r="T56" s="187"/>
      <c r="U56" s="187">
        <v>220</v>
      </c>
      <c r="V56" s="187">
        <v>50</v>
      </c>
      <c r="W56" s="187"/>
      <c r="X56" s="187">
        <v>50</v>
      </c>
      <c r="Y56" s="183" t="s">
        <v>223</v>
      </c>
      <c r="Z56" s="183" t="s">
        <v>235</v>
      </c>
      <c r="AA56" s="184"/>
      <c r="AB56" s="183"/>
      <c r="AC56" s="183"/>
      <c r="AD56" s="183"/>
      <c r="AE56" s="185"/>
      <c r="AF56" s="185"/>
      <c r="AG56" s="185"/>
      <c r="AH56" s="185"/>
      <c r="AI56" s="185"/>
      <c r="AJ56" s="185"/>
    </row>
    <row r="57" spans="1:36" s="6" customFormat="1" ht="38.25">
      <c r="A57" s="154">
        <v>22</v>
      </c>
      <c r="B57" s="58" t="s">
        <v>774</v>
      </c>
      <c r="C57" s="8" t="s">
        <v>430</v>
      </c>
      <c r="D57" s="51" t="s">
        <v>272</v>
      </c>
      <c r="E57" s="136" t="s">
        <v>431</v>
      </c>
      <c r="F57" s="51" t="s">
        <v>432</v>
      </c>
      <c r="G57" s="51"/>
      <c r="H57" s="51" t="s">
        <v>433</v>
      </c>
      <c r="I57" s="51" t="s">
        <v>433</v>
      </c>
      <c r="J57" s="51" t="s">
        <v>434</v>
      </c>
      <c r="K57" s="51"/>
      <c r="L57" s="51" t="s">
        <v>346</v>
      </c>
      <c r="M57" s="51"/>
      <c r="N57" s="51"/>
      <c r="O57" s="51"/>
      <c r="P57" s="51" t="s">
        <v>222</v>
      </c>
      <c r="Q57" s="51">
        <v>1</v>
      </c>
      <c r="R57" s="68">
        <v>1</v>
      </c>
      <c r="S57" s="8">
        <v>13.8</v>
      </c>
      <c r="T57" s="8"/>
      <c r="U57" s="8">
        <v>13.8</v>
      </c>
      <c r="V57" s="8">
        <v>13.8</v>
      </c>
      <c r="W57" s="8"/>
      <c r="X57" s="8">
        <v>13.8</v>
      </c>
      <c r="Y57" s="64" t="s">
        <v>223</v>
      </c>
      <c r="Z57" s="64" t="s">
        <v>224</v>
      </c>
      <c r="AA57" s="67"/>
      <c r="AB57" s="64"/>
      <c r="AC57" s="64"/>
      <c r="AD57" s="64"/>
      <c r="AE57" s="112"/>
      <c r="AF57" s="112"/>
      <c r="AG57" s="112"/>
      <c r="AH57" s="112"/>
      <c r="AI57" s="112"/>
      <c r="AJ57" s="112"/>
    </row>
    <row r="58" spans="1:36" s="6" customFormat="1" ht="63.75">
      <c r="A58" s="154">
        <v>23</v>
      </c>
      <c r="B58" s="58" t="s">
        <v>774</v>
      </c>
      <c r="C58" s="8" t="s">
        <v>435</v>
      </c>
      <c r="D58" s="51" t="s">
        <v>436</v>
      </c>
      <c r="E58" s="136" t="s">
        <v>437</v>
      </c>
      <c r="F58" s="51" t="s">
        <v>438</v>
      </c>
      <c r="G58" s="51"/>
      <c r="H58" s="51" t="s">
        <v>439</v>
      </c>
      <c r="I58" s="51" t="s">
        <v>439</v>
      </c>
      <c r="J58" s="51" t="s">
        <v>440</v>
      </c>
      <c r="K58" s="51"/>
      <c r="L58" s="51" t="s">
        <v>357</v>
      </c>
      <c r="M58" s="51"/>
      <c r="N58" s="51"/>
      <c r="O58" s="51"/>
      <c r="P58" s="51" t="s">
        <v>222</v>
      </c>
      <c r="Q58" s="51">
        <v>1</v>
      </c>
      <c r="R58" s="68">
        <v>1</v>
      </c>
      <c r="S58" s="8">
        <v>19</v>
      </c>
      <c r="T58" s="8"/>
      <c r="U58" s="8">
        <v>19</v>
      </c>
      <c r="V58" s="8">
        <v>19</v>
      </c>
      <c r="W58" s="8"/>
      <c r="X58" s="8">
        <v>19</v>
      </c>
      <c r="Y58" s="64" t="s">
        <v>223</v>
      </c>
      <c r="Z58" s="64" t="s">
        <v>224</v>
      </c>
      <c r="AA58" s="67"/>
      <c r="AB58" s="64"/>
      <c r="AC58" s="64"/>
      <c r="AD58" s="64"/>
      <c r="AE58" s="112"/>
      <c r="AF58" s="112"/>
      <c r="AG58" s="112"/>
      <c r="AH58" s="112" t="s">
        <v>222</v>
      </c>
      <c r="AI58" s="112"/>
      <c r="AJ58" s="112"/>
    </row>
    <row r="59" spans="1:36" s="6" customFormat="1" ht="38.25">
      <c r="A59" s="154">
        <v>24</v>
      </c>
      <c r="B59" s="58" t="s">
        <v>774</v>
      </c>
      <c r="C59" s="8" t="s">
        <v>441</v>
      </c>
      <c r="D59" s="51" t="s">
        <v>272</v>
      </c>
      <c r="E59" s="136" t="s">
        <v>442</v>
      </c>
      <c r="F59" s="51" t="s">
        <v>443</v>
      </c>
      <c r="G59" s="51"/>
      <c r="H59" s="51" t="s">
        <v>444</v>
      </c>
      <c r="I59" s="51" t="s">
        <v>444</v>
      </c>
      <c r="J59" s="51" t="s">
        <v>445</v>
      </c>
      <c r="K59" s="51"/>
      <c r="L59" s="51" t="s">
        <v>313</v>
      </c>
      <c r="M59" s="51"/>
      <c r="N59" s="51"/>
      <c r="O59" s="51"/>
      <c r="P59" s="51" t="s">
        <v>222</v>
      </c>
      <c r="Q59" s="51">
        <v>3</v>
      </c>
      <c r="R59" s="68">
        <v>2</v>
      </c>
      <c r="S59" s="8">
        <v>36</v>
      </c>
      <c r="T59" s="8"/>
      <c r="U59" s="8">
        <v>36</v>
      </c>
      <c r="V59" s="8">
        <v>16</v>
      </c>
      <c r="W59" s="8"/>
      <c r="X59" s="8">
        <v>16</v>
      </c>
      <c r="Y59" s="64" t="s">
        <v>223</v>
      </c>
      <c r="Z59" s="64" t="s">
        <v>224</v>
      </c>
      <c r="AA59" s="67"/>
      <c r="AB59" s="64"/>
      <c r="AC59" s="64"/>
      <c r="AD59" s="64"/>
      <c r="AE59" s="112"/>
      <c r="AF59" s="112"/>
      <c r="AG59" s="112"/>
      <c r="AH59" s="112"/>
      <c r="AI59" s="112"/>
      <c r="AJ59" s="112"/>
    </row>
    <row r="60" spans="1:36" s="6" customFormat="1" ht="76.5">
      <c r="A60" s="154">
        <v>25</v>
      </c>
      <c r="B60" s="58" t="s">
        <v>774</v>
      </c>
      <c r="C60" s="8" t="s">
        <v>446</v>
      </c>
      <c r="D60" s="51" t="s">
        <v>272</v>
      </c>
      <c r="E60" s="136"/>
      <c r="F60" s="51" t="s">
        <v>447</v>
      </c>
      <c r="G60" s="51"/>
      <c r="H60" s="51" t="s">
        <v>448</v>
      </c>
      <c r="I60" s="51" t="s">
        <v>448</v>
      </c>
      <c r="J60" s="51" t="s">
        <v>449</v>
      </c>
      <c r="K60" s="51"/>
      <c r="L60" s="51" t="s">
        <v>450</v>
      </c>
      <c r="M60" s="51"/>
      <c r="N60" s="51"/>
      <c r="O60" s="51" t="s">
        <v>222</v>
      </c>
      <c r="P60" s="51"/>
      <c r="Q60" s="51">
        <v>1</v>
      </c>
      <c r="R60" s="68">
        <v>1</v>
      </c>
      <c r="S60" s="8">
        <v>40</v>
      </c>
      <c r="T60" s="8"/>
      <c r="U60" s="8">
        <v>40</v>
      </c>
      <c r="V60" s="8">
        <v>34</v>
      </c>
      <c r="W60" s="8"/>
      <c r="X60" s="8">
        <v>34</v>
      </c>
      <c r="Y60" s="64" t="s">
        <v>223</v>
      </c>
      <c r="Z60" s="64" t="s">
        <v>224</v>
      </c>
      <c r="AA60" s="67"/>
      <c r="AB60" s="64"/>
      <c r="AC60" s="64"/>
      <c r="AD60" s="64"/>
      <c r="AE60" s="112"/>
      <c r="AF60" s="112"/>
      <c r="AG60" s="112"/>
      <c r="AH60" s="112"/>
      <c r="AI60" s="112"/>
      <c r="AJ60" s="112"/>
    </row>
    <row r="61" spans="1:36" s="6" customFormat="1" ht="38.25">
      <c r="A61" s="154">
        <v>26</v>
      </c>
      <c r="B61" s="58" t="s">
        <v>774</v>
      </c>
      <c r="C61" s="8" t="s">
        <v>451</v>
      </c>
      <c r="D61" s="51" t="s">
        <v>365</v>
      </c>
      <c r="E61" s="136" t="s">
        <v>452</v>
      </c>
      <c r="F61" s="51" t="s">
        <v>453</v>
      </c>
      <c r="G61" s="51"/>
      <c r="H61" s="51" t="s">
        <v>454</v>
      </c>
      <c r="I61" s="51" t="s">
        <v>454</v>
      </c>
      <c r="J61" s="51" t="s">
        <v>455</v>
      </c>
      <c r="K61" s="51"/>
      <c r="L61" s="51" t="s">
        <v>313</v>
      </c>
      <c r="M61" s="51"/>
      <c r="N61" s="51"/>
      <c r="O61" s="51"/>
      <c r="P61" s="51"/>
      <c r="Q61" s="51">
        <v>1</v>
      </c>
      <c r="R61" s="68">
        <v>1</v>
      </c>
      <c r="S61" s="8">
        <v>21</v>
      </c>
      <c r="T61" s="8"/>
      <c r="U61" s="8">
        <v>21</v>
      </c>
      <c r="V61" s="8">
        <v>18</v>
      </c>
      <c r="W61" s="8"/>
      <c r="X61" s="8">
        <v>18</v>
      </c>
      <c r="Y61" s="64" t="s">
        <v>223</v>
      </c>
      <c r="Z61" s="64" t="s">
        <v>224</v>
      </c>
      <c r="AA61" s="67"/>
      <c r="AB61" s="64"/>
      <c r="AC61" s="64"/>
      <c r="AD61" s="64"/>
      <c r="AE61" s="112"/>
      <c r="AF61" s="112"/>
      <c r="AG61" s="112"/>
      <c r="AH61" s="112"/>
      <c r="AI61" s="112"/>
      <c r="AJ61" s="112"/>
    </row>
    <row r="62" spans="1:36" s="186" customFormat="1" ht="76.5">
      <c r="A62" s="177">
        <v>27</v>
      </c>
      <c r="B62" s="178" t="s">
        <v>774</v>
      </c>
      <c r="C62" s="187" t="s">
        <v>456</v>
      </c>
      <c r="D62" s="188" t="s">
        <v>457</v>
      </c>
      <c r="E62" s="181" t="s">
        <v>330</v>
      </c>
      <c r="F62" s="188" t="s">
        <v>257</v>
      </c>
      <c r="G62" s="188" t="s">
        <v>458</v>
      </c>
      <c r="H62" s="188" t="s">
        <v>259</v>
      </c>
      <c r="I62" s="188" t="s">
        <v>259</v>
      </c>
      <c r="J62" s="188" t="s">
        <v>459</v>
      </c>
      <c r="K62" s="188"/>
      <c r="L62" s="188" t="s">
        <v>285</v>
      </c>
      <c r="M62" s="188"/>
      <c r="N62" s="188"/>
      <c r="O62" s="188"/>
      <c r="P62" s="188" t="s">
        <v>222</v>
      </c>
      <c r="Q62" s="188">
        <v>14</v>
      </c>
      <c r="R62" s="189">
        <v>9</v>
      </c>
      <c r="S62" s="187">
        <v>540</v>
      </c>
      <c r="T62" s="187"/>
      <c r="U62" s="187">
        <v>540</v>
      </c>
      <c r="V62" s="187">
        <v>280</v>
      </c>
      <c r="W62" s="187"/>
      <c r="X62" s="187">
        <v>280</v>
      </c>
      <c r="Y62" s="183" t="s">
        <v>223</v>
      </c>
      <c r="Z62" s="183" t="s">
        <v>235</v>
      </c>
      <c r="AA62" s="184" t="s">
        <v>222</v>
      </c>
      <c r="AB62" s="183"/>
      <c r="AC62" s="183"/>
      <c r="AD62" s="183"/>
      <c r="AE62" s="185"/>
      <c r="AF62" s="185"/>
      <c r="AG62" s="185"/>
      <c r="AH62" s="185" t="s">
        <v>222</v>
      </c>
      <c r="AI62" s="185"/>
      <c r="AJ62" s="185"/>
    </row>
    <row r="63" spans="1:36" s="186" customFormat="1" ht="63.75">
      <c r="A63" s="177">
        <v>28</v>
      </c>
      <c r="B63" s="178" t="s">
        <v>774</v>
      </c>
      <c r="C63" s="187" t="s">
        <v>460</v>
      </c>
      <c r="D63" s="188" t="s">
        <v>461</v>
      </c>
      <c r="E63" s="181" t="s">
        <v>462</v>
      </c>
      <c r="F63" s="188" t="s">
        <v>216</v>
      </c>
      <c r="G63" s="188" t="s">
        <v>217</v>
      </c>
      <c r="H63" s="187" t="s">
        <v>792</v>
      </c>
      <c r="I63" s="187" t="s">
        <v>792</v>
      </c>
      <c r="J63" s="188" t="s">
        <v>463</v>
      </c>
      <c r="K63" s="188"/>
      <c r="L63" s="188" t="s">
        <v>313</v>
      </c>
      <c r="M63" s="188"/>
      <c r="N63" s="188"/>
      <c r="O63" s="188"/>
      <c r="P63" s="188"/>
      <c r="Q63" s="188">
        <v>4</v>
      </c>
      <c r="R63" s="189">
        <v>3</v>
      </c>
      <c r="S63" s="187">
        <v>147.2</v>
      </c>
      <c r="T63" s="187"/>
      <c r="U63" s="187">
        <v>147.2</v>
      </c>
      <c r="V63" s="187">
        <v>120</v>
      </c>
      <c r="W63" s="187"/>
      <c r="X63" s="187">
        <v>120</v>
      </c>
      <c r="Y63" s="183" t="s">
        <v>223</v>
      </c>
      <c r="Z63" s="183" t="s">
        <v>235</v>
      </c>
      <c r="AA63" s="184" t="s">
        <v>222</v>
      </c>
      <c r="AB63" s="183"/>
      <c r="AC63" s="183"/>
      <c r="AD63" s="183"/>
      <c r="AE63" s="185"/>
      <c r="AF63" s="185"/>
      <c r="AG63" s="185"/>
      <c r="AH63" s="185"/>
      <c r="AI63" s="185"/>
      <c r="AJ63" s="185"/>
    </row>
    <row r="64" spans="1:36" s="6" customFormat="1" ht="63.75">
      <c r="A64" s="154">
        <v>29</v>
      </c>
      <c r="B64" s="58" t="s">
        <v>774</v>
      </c>
      <c r="C64" s="8" t="s">
        <v>814</v>
      </c>
      <c r="D64" s="51" t="s">
        <v>815</v>
      </c>
      <c r="E64" s="136">
        <v>89103030060</v>
      </c>
      <c r="F64" s="51" t="s">
        <v>816</v>
      </c>
      <c r="G64" s="51" t="s">
        <v>830</v>
      </c>
      <c r="H64" s="51" t="s">
        <v>818</v>
      </c>
      <c r="I64" s="51" t="s">
        <v>817</v>
      </c>
      <c r="J64" s="51" t="s">
        <v>463</v>
      </c>
      <c r="K64" s="51"/>
      <c r="L64" s="51" t="s">
        <v>819</v>
      </c>
      <c r="M64" s="51"/>
      <c r="N64" s="51"/>
      <c r="O64" s="51"/>
      <c r="P64" s="51" t="s">
        <v>222</v>
      </c>
      <c r="Q64" s="51">
        <v>1</v>
      </c>
      <c r="R64" s="68">
        <v>1</v>
      </c>
      <c r="S64" s="8">
        <v>65</v>
      </c>
      <c r="T64" s="8"/>
      <c r="U64" s="8">
        <v>65</v>
      </c>
      <c r="V64" s="8">
        <v>35</v>
      </c>
      <c r="W64" s="8"/>
      <c r="X64" s="8">
        <v>35</v>
      </c>
      <c r="Y64" s="64" t="s">
        <v>223</v>
      </c>
      <c r="Z64" s="64" t="s">
        <v>325</v>
      </c>
      <c r="AA64" s="67"/>
      <c r="AB64" s="64"/>
      <c r="AC64" s="64"/>
      <c r="AD64" s="64"/>
      <c r="AE64" s="112"/>
      <c r="AF64" s="112"/>
      <c r="AG64" s="112"/>
      <c r="AH64" s="112"/>
      <c r="AI64" s="112"/>
      <c r="AJ64" s="112"/>
    </row>
    <row r="65" spans="1:36" s="6" customFormat="1" ht="76.5">
      <c r="A65" s="154">
        <v>30</v>
      </c>
      <c r="B65" s="58" t="s">
        <v>774</v>
      </c>
      <c r="C65" s="8" t="s">
        <v>821</v>
      </c>
      <c r="D65" s="51" t="s">
        <v>822</v>
      </c>
      <c r="E65" s="136">
        <v>89155035528</v>
      </c>
      <c r="F65" s="51" t="s">
        <v>823</v>
      </c>
      <c r="G65" s="51" t="s">
        <v>824</v>
      </c>
      <c r="H65" s="51" t="s">
        <v>823</v>
      </c>
      <c r="I65" s="51" t="s">
        <v>823</v>
      </c>
      <c r="J65" s="51" t="s">
        <v>825</v>
      </c>
      <c r="K65" s="51"/>
      <c r="L65" s="51" t="s">
        <v>826</v>
      </c>
      <c r="M65" s="51"/>
      <c r="N65" s="51"/>
      <c r="O65" s="51"/>
      <c r="P65" s="51" t="s">
        <v>222</v>
      </c>
      <c r="Q65" s="51">
        <v>1</v>
      </c>
      <c r="R65" s="68">
        <v>1</v>
      </c>
      <c r="S65" s="8">
        <v>65</v>
      </c>
      <c r="T65" s="8"/>
      <c r="U65" s="8">
        <v>65</v>
      </c>
      <c r="V65" s="8">
        <v>17</v>
      </c>
      <c r="W65" s="8"/>
      <c r="X65" s="8">
        <v>17</v>
      </c>
      <c r="Y65" s="64" t="s">
        <v>223</v>
      </c>
      <c r="Z65" s="64" t="s">
        <v>325</v>
      </c>
      <c r="AA65" s="67"/>
      <c r="AB65" s="64"/>
      <c r="AC65" s="64"/>
      <c r="AD65" s="64"/>
      <c r="AE65" s="112"/>
      <c r="AF65" s="112"/>
      <c r="AG65" s="112"/>
      <c r="AH65" s="112" t="s">
        <v>222</v>
      </c>
      <c r="AI65" s="112"/>
      <c r="AJ65" s="112"/>
    </row>
    <row r="66" spans="1:36" s="202" customFormat="1" ht="63.75">
      <c r="A66" s="194">
        <v>31</v>
      </c>
      <c r="B66" s="194" t="s">
        <v>774</v>
      </c>
      <c r="C66" s="195" t="s">
        <v>881</v>
      </c>
      <c r="D66" s="196" t="s">
        <v>369</v>
      </c>
      <c r="E66" s="197"/>
      <c r="F66" s="196" t="s">
        <v>882</v>
      </c>
      <c r="G66" s="196" t="s">
        <v>883</v>
      </c>
      <c r="H66" s="196" t="s">
        <v>884</v>
      </c>
      <c r="I66" s="196" t="s">
        <v>884</v>
      </c>
      <c r="J66" s="196" t="s">
        <v>885</v>
      </c>
      <c r="K66" s="196"/>
      <c r="L66" s="196" t="s">
        <v>886</v>
      </c>
      <c r="M66" s="196" t="s">
        <v>222</v>
      </c>
      <c r="N66" s="196"/>
      <c r="O66" s="196"/>
      <c r="P66" s="196" t="s">
        <v>222</v>
      </c>
      <c r="Q66" s="196">
        <v>1</v>
      </c>
      <c r="R66" s="198">
        <v>1</v>
      </c>
      <c r="S66" s="195">
        <v>37</v>
      </c>
      <c r="T66" s="195"/>
      <c r="U66" s="195">
        <v>37</v>
      </c>
      <c r="V66" s="195">
        <v>20</v>
      </c>
      <c r="W66" s="195"/>
      <c r="X66" s="195">
        <v>20</v>
      </c>
      <c r="Y66" s="199" t="s">
        <v>223</v>
      </c>
      <c r="Z66" s="199" t="s">
        <v>224</v>
      </c>
      <c r="AA66" s="200"/>
      <c r="AB66" s="199"/>
      <c r="AC66" s="199"/>
      <c r="AD66" s="199"/>
      <c r="AE66" s="201"/>
      <c r="AF66" s="201">
        <v>50</v>
      </c>
      <c r="AG66" s="201"/>
      <c r="AH66" s="201" t="s">
        <v>222</v>
      </c>
      <c r="AI66" s="201"/>
      <c r="AJ66" s="201"/>
    </row>
    <row r="67" spans="1:36" s="205" customFormat="1" ht="51">
      <c r="A67" s="195">
        <v>32</v>
      </c>
      <c r="B67" s="195" t="s">
        <v>774</v>
      </c>
      <c r="C67" s="195" t="s">
        <v>887</v>
      </c>
      <c r="D67" s="195" t="s">
        <v>928</v>
      </c>
      <c r="E67" s="203">
        <v>89192059140</v>
      </c>
      <c r="F67" s="195" t="s">
        <v>888</v>
      </c>
      <c r="G67" s="195" t="s">
        <v>889</v>
      </c>
      <c r="H67" s="195" t="s">
        <v>890</v>
      </c>
      <c r="I67" s="195" t="s">
        <v>891</v>
      </c>
      <c r="J67" s="195" t="s">
        <v>892</v>
      </c>
      <c r="K67" s="195" t="s">
        <v>233</v>
      </c>
      <c r="L67" s="195" t="s">
        <v>276</v>
      </c>
      <c r="M67" s="195" t="s">
        <v>222</v>
      </c>
      <c r="N67" s="195"/>
      <c r="O67" s="195" t="s">
        <v>222</v>
      </c>
      <c r="P67" s="195"/>
      <c r="Q67" s="195">
        <v>3</v>
      </c>
      <c r="R67" s="204">
        <v>2</v>
      </c>
      <c r="S67" s="195">
        <v>41.1</v>
      </c>
      <c r="T67" s="195"/>
      <c r="U67" s="195">
        <v>41.1</v>
      </c>
      <c r="V67" s="195">
        <v>25.5</v>
      </c>
      <c r="W67" s="195"/>
      <c r="X67" s="195">
        <v>25.5</v>
      </c>
      <c r="Y67" s="199" t="s">
        <v>223</v>
      </c>
      <c r="Z67" s="199" t="s">
        <v>325</v>
      </c>
      <c r="AA67" s="200"/>
      <c r="AB67" s="199"/>
      <c r="AC67" s="199" t="s">
        <v>222</v>
      </c>
      <c r="AD67" s="199" t="s">
        <v>222</v>
      </c>
      <c r="AE67" s="199"/>
      <c r="AF67" s="199">
        <v>80</v>
      </c>
      <c r="AG67" s="199"/>
      <c r="AH67" s="199" t="s">
        <v>222</v>
      </c>
      <c r="AI67" s="199"/>
      <c r="AJ67" s="199"/>
    </row>
    <row r="68" spans="1:36" s="202" customFormat="1" ht="89.25">
      <c r="A68" s="194">
        <v>33</v>
      </c>
      <c r="B68" s="194" t="s">
        <v>774</v>
      </c>
      <c r="C68" s="195" t="s">
        <v>907</v>
      </c>
      <c r="D68" s="196" t="s">
        <v>883</v>
      </c>
      <c r="E68" s="197"/>
      <c r="F68" s="196" t="s">
        <v>908</v>
      </c>
      <c r="G68" s="196" t="s">
        <v>909</v>
      </c>
      <c r="H68" s="196" t="s">
        <v>910</v>
      </c>
      <c r="I68" s="196" t="s">
        <v>910</v>
      </c>
      <c r="J68" s="196" t="s">
        <v>911</v>
      </c>
      <c r="K68" s="196"/>
      <c r="L68" s="196" t="s">
        <v>912</v>
      </c>
      <c r="M68" s="196" t="s">
        <v>222</v>
      </c>
      <c r="N68" s="196"/>
      <c r="O68" s="196"/>
      <c r="P68" s="196" t="s">
        <v>222</v>
      </c>
      <c r="Q68" s="196">
        <v>2</v>
      </c>
      <c r="R68" s="198">
        <v>2</v>
      </c>
      <c r="S68" s="195">
        <v>70</v>
      </c>
      <c r="T68" s="195"/>
      <c r="U68" s="195">
        <v>70</v>
      </c>
      <c r="V68" s="195">
        <v>60</v>
      </c>
      <c r="W68" s="195"/>
      <c r="X68" s="195">
        <v>60</v>
      </c>
      <c r="Y68" s="199" t="s">
        <v>223</v>
      </c>
      <c r="Z68" s="199" t="s">
        <v>235</v>
      </c>
      <c r="AA68" s="200"/>
      <c r="AB68" s="199" t="s">
        <v>222</v>
      </c>
      <c r="AC68" s="199"/>
      <c r="AD68" s="199"/>
      <c r="AE68" s="201"/>
      <c r="AF68" s="201">
        <v>200</v>
      </c>
      <c r="AG68" s="201"/>
      <c r="AH68" s="201" t="s">
        <v>222</v>
      </c>
      <c r="AI68" s="201"/>
      <c r="AJ68" s="201"/>
    </row>
    <row r="69" spans="1:36" s="6" customFormat="1" ht="18.75">
      <c r="A69" s="7"/>
      <c r="B69" s="7"/>
      <c r="C69" s="8"/>
      <c r="D69" s="51"/>
      <c r="E69" s="136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68"/>
      <c r="S69" s="8"/>
      <c r="T69" s="8"/>
      <c r="U69" s="8"/>
      <c r="V69" s="8"/>
      <c r="W69" s="8"/>
      <c r="X69" s="8"/>
      <c r="Y69" s="64"/>
      <c r="Z69" s="64"/>
      <c r="AA69" s="67"/>
      <c r="AB69" s="64"/>
      <c r="AC69" s="64"/>
      <c r="AD69" s="64"/>
      <c r="AE69" s="112"/>
      <c r="AF69" s="112"/>
      <c r="AG69" s="112"/>
      <c r="AH69" s="112"/>
      <c r="AI69" s="112"/>
      <c r="AJ69" s="112"/>
    </row>
    <row r="70" spans="1:36" s="6" customFormat="1" ht="18.75">
      <c r="A70" s="7"/>
      <c r="B70" s="7"/>
      <c r="C70" s="8"/>
      <c r="D70" s="51"/>
      <c r="E70" s="136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68"/>
      <c r="S70" s="8"/>
      <c r="T70" s="8"/>
      <c r="U70" s="8"/>
      <c r="V70" s="8"/>
      <c r="W70" s="8"/>
      <c r="X70" s="8"/>
      <c r="Y70" s="64"/>
      <c r="Z70" s="64"/>
      <c r="AA70" s="67"/>
      <c r="AB70" s="64"/>
      <c r="AC70" s="64"/>
      <c r="AD70" s="64"/>
      <c r="AE70" s="112"/>
      <c r="AF70" s="112"/>
      <c r="AG70" s="112"/>
      <c r="AH70" s="112"/>
      <c r="AI70" s="112"/>
      <c r="AJ70" s="112"/>
    </row>
    <row r="71" spans="1:36" s="57" customFormat="1" ht="38.25">
      <c r="A71" s="28"/>
      <c r="B71" s="28"/>
      <c r="C71" s="29" t="s">
        <v>67</v>
      </c>
      <c r="D71" s="29" t="s">
        <v>27</v>
      </c>
      <c r="E71" s="134"/>
      <c r="F71" s="44"/>
      <c r="G71" s="72">
        <f>COUNTIF(C36:C70,"*")</f>
        <v>33</v>
      </c>
      <c r="H71" s="72"/>
      <c r="I71" s="72"/>
      <c r="J71" s="72"/>
      <c r="K71" s="72"/>
      <c r="L71" s="28"/>
      <c r="M71" s="28">
        <f>COUNTIF(M36:M70,"*")</f>
        <v>3</v>
      </c>
      <c r="N71" s="28">
        <f>COUNTIF(N36:N70,"*")</f>
        <v>0</v>
      </c>
      <c r="O71" s="28">
        <f>COUNTIF(O36:O70,"*")</f>
        <v>11</v>
      </c>
      <c r="P71" s="28">
        <f>COUNTIF(P36:P70,"*")</f>
        <v>17</v>
      </c>
      <c r="Q71" s="28">
        <f aca="true" t="shared" si="2" ref="Q71:X71">IF(SUM(Q36:Q70)&gt;0,SUM(Q36:Q70)," ")</f>
        <v>103</v>
      </c>
      <c r="R71" s="28">
        <f t="shared" si="2"/>
        <v>79</v>
      </c>
      <c r="S71" s="28">
        <f t="shared" si="2"/>
        <v>3422.1000000000004</v>
      </c>
      <c r="T71" s="28" t="str">
        <f t="shared" si="2"/>
        <v> </v>
      </c>
      <c r="U71" s="28">
        <f t="shared" si="2"/>
        <v>3422.1000000000004</v>
      </c>
      <c r="V71" s="28">
        <f t="shared" si="2"/>
        <v>2001.6</v>
      </c>
      <c r="W71" s="28">
        <f t="shared" si="2"/>
        <v>18</v>
      </c>
      <c r="X71" s="28">
        <f t="shared" si="2"/>
        <v>2001.6</v>
      </c>
      <c r="Y71" s="73"/>
      <c r="Z71" s="73"/>
      <c r="AA71" s="29">
        <f aca="true" t="shared" si="3" ref="AA71:AF71">COUNTIF(AA36:AA70,"*")</f>
        <v>9</v>
      </c>
      <c r="AB71" s="28">
        <f t="shared" si="3"/>
        <v>1</v>
      </c>
      <c r="AC71" s="28">
        <f t="shared" si="3"/>
        <v>1</v>
      </c>
      <c r="AD71" s="28">
        <f t="shared" si="3"/>
        <v>1</v>
      </c>
      <c r="AE71" s="28">
        <f t="shared" si="3"/>
        <v>0</v>
      </c>
      <c r="AF71" s="28">
        <f t="shared" si="3"/>
        <v>0</v>
      </c>
      <c r="AG71" s="73"/>
      <c r="AH71" s="73"/>
      <c r="AI71" s="73"/>
      <c r="AJ71" s="73"/>
    </row>
    <row r="72" spans="1:28" s="26" customFormat="1" ht="18.75">
      <c r="A72" s="21" t="s">
        <v>16</v>
      </c>
      <c r="B72" s="21"/>
      <c r="C72" s="22" t="s">
        <v>17</v>
      </c>
      <c r="D72" s="23"/>
      <c r="E72" s="138"/>
      <c r="F72" s="23"/>
      <c r="G72" s="23" t="s">
        <v>17</v>
      </c>
      <c r="H72" s="23"/>
      <c r="I72" s="23"/>
      <c r="J72" s="23"/>
      <c r="K72" s="23" t="s">
        <v>17</v>
      </c>
      <c r="L72" s="23"/>
      <c r="M72" s="23"/>
      <c r="N72" s="23"/>
      <c r="O72" s="23"/>
      <c r="P72" s="24"/>
      <c r="Q72" s="24"/>
      <c r="R72" s="24"/>
      <c r="S72" s="24" t="s">
        <v>17</v>
      </c>
      <c r="T72" s="24"/>
      <c r="U72" s="24"/>
      <c r="V72" s="24"/>
      <c r="W72" s="24"/>
      <c r="X72" s="24"/>
      <c r="Y72" s="30"/>
      <c r="AB72" s="31"/>
    </row>
    <row r="73" spans="1:36" s="167" customFormat="1" ht="76.5">
      <c r="A73" s="162">
        <v>1</v>
      </c>
      <c r="B73" s="163" t="s">
        <v>774</v>
      </c>
      <c r="C73" s="164" t="s">
        <v>464</v>
      </c>
      <c r="D73" s="164" t="s">
        <v>465</v>
      </c>
      <c r="E73" s="162" t="s">
        <v>466</v>
      </c>
      <c r="F73" s="164" t="s">
        <v>216</v>
      </c>
      <c r="G73" s="164" t="s">
        <v>217</v>
      </c>
      <c r="H73" s="164" t="s">
        <v>793</v>
      </c>
      <c r="I73" s="164" t="s">
        <v>835</v>
      </c>
      <c r="J73" s="164" t="s">
        <v>467</v>
      </c>
      <c r="K73" s="164" t="s">
        <v>220</v>
      </c>
      <c r="L73" s="164" t="s">
        <v>580</v>
      </c>
      <c r="M73" s="164"/>
      <c r="N73" s="164"/>
      <c r="O73" s="164"/>
      <c r="P73" s="164" t="s">
        <v>222</v>
      </c>
      <c r="Q73" s="164">
        <v>4</v>
      </c>
      <c r="R73" s="164">
        <v>4</v>
      </c>
      <c r="S73" s="162">
        <v>274.4</v>
      </c>
      <c r="T73" s="164">
        <v>75</v>
      </c>
      <c r="U73" s="164">
        <v>13</v>
      </c>
      <c r="V73" s="164">
        <v>70</v>
      </c>
      <c r="W73" s="164">
        <v>62</v>
      </c>
      <c r="X73" s="164">
        <v>8</v>
      </c>
      <c r="Y73" s="165" t="s">
        <v>223</v>
      </c>
      <c r="Z73" s="165" t="s">
        <v>235</v>
      </c>
      <c r="AA73" s="166" t="s">
        <v>222</v>
      </c>
      <c r="AB73" s="165"/>
      <c r="AC73" s="165" t="s">
        <v>222</v>
      </c>
      <c r="AD73" s="165" t="s">
        <v>222</v>
      </c>
      <c r="AE73" s="165"/>
      <c r="AF73" s="165"/>
      <c r="AG73" s="165"/>
      <c r="AH73" s="165"/>
      <c r="AI73" s="165"/>
      <c r="AJ73" s="165"/>
    </row>
    <row r="74" spans="1:36" s="118" customFormat="1" ht="76.5">
      <c r="A74" s="114">
        <v>2</v>
      </c>
      <c r="B74" s="114" t="s">
        <v>780</v>
      </c>
      <c r="C74" s="114" t="s">
        <v>469</v>
      </c>
      <c r="D74" s="114" t="s">
        <v>470</v>
      </c>
      <c r="E74" s="133" t="s">
        <v>471</v>
      </c>
      <c r="F74" s="114" t="s">
        <v>216</v>
      </c>
      <c r="G74" s="114" t="s">
        <v>217</v>
      </c>
      <c r="H74" s="168" t="s">
        <v>793</v>
      </c>
      <c r="I74" s="114" t="s">
        <v>838</v>
      </c>
      <c r="J74" s="114" t="s">
        <v>467</v>
      </c>
      <c r="K74" s="114" t="s">
        <v>220</v>
      </c>
      <c r="L74" s="114" t="s">
        <v>839</v>
      </c>
      <c r="M74" s="114"/>
      <c r="N74" s="114"/>
      <c r="O74" s="114"/>
      <c r="P74" s="114" t="s">
        <v>222</v>
      </c>
      <c r="Q74" s="114">
        <v>1</v>
      </c>
      <c r="R74" s="115">
        <v>1</v>
      </c>
      <c r="S74" s="114">
        <v>108.7</v>
      </c>
      <c r="T74" s="114">
        <v>88</v>
      </c>
      <c r="U74" s="114">
        <v>20.7</v>
      </c>
      <c r="V74" s="114">
        <v>57.3</v>
      </c>
      <c r="W74" s="114">
        <v>42.3</v>
      </c>
      <c r="X74" s="114">
        <v>15</v>
      </c>
      <c r="Y74" s="116" t="s">
        <v>223</v>
      </c>
      <c r="Z74" s="116" t="s">
        <v>235</v>
      </c>
      <c r="AA74" s="117" t="s">
        <v>222</v>
      </c>
      <c r="AB74" s="116"/>
      <c r="AC74" s="116" t="s">
        <v>222</v>
      </c>
      <c r="AD74" s="116" t="s">
        <v>222</v>
      </c>
      <c r="AE74" s="116">
        <v>50</v>
      </c>
      <c r="AF74" s="116"/>
      <c r="AG74" s="116"/>
      <c r="AH74" s="116"/>
      <c r="AI74" s="116"/>
      <c r="AJ74" s="116"/>
    </row>
    <row r="75" spans="1:36" s="70" customFormat="1" ht="76.5">
      <c r="A75" s="8">
        <v>3</v>
      </c>
      <c r="B75" s="8" t="s">
        <v>776</v>
      </c>
      <c r="C75" s="8" t="s">
        <v>473</v>
      </c>
      <c r="D75" s="8" t="s">
        <v>474</v>
      </c>
      <c r="E75" s="119" t="s">
        <v>475</v>
      </c>
      <c r="F75" s="8" t="s">
        <v>216</v>
      </c>
      <c r="G75" s="8" t="s">
        <v>217</v>
      </c>
      <c r="H75" s="66" t="s">
        <v>793</v>
      </c>
      <c r="I75" s="8" t="s">
        <v>476</v>
      </c>
      <c r="J75" s="8" t="s">
        <v>467</v>
      </c>
      <c r="K75" s="8" t="s">
        <v>220</v>
      </c>
      <c r="L75" s="8" t="s">
        <v>493</v>
      </c>
      <c r="M75" s="8"/>
      <c r="N75" s="8"/>
      <c r="O75" s="8"/>
      <c r="P75" s="8" t="s">
        <v>222</v>
      </c>
      <c r="Q75" s="8">
        <v>1</v>
      </c>
      <c r="R75" s="65">
        <v>1</v>
      </c>
      <c r="S75" s="8">
        <v>158.7</v>
      </c>
      <c r="T75" s="8">
        <v>120</v>
      </c>
      <c r="U75" s="8">
        <v>38.7</v>
      </c>
      <c r="V75" s="8">
        <v>37.3</v>
      </c>
      <c r="W75" s="8">
        <v>28.3</v>
      </c>
      <c r="X75" s="8">
        <v>9</v>
      </c>
      <c r="Y75" s="64" t="s">
        <v>223</v>
      </c>
      <c r="Z75" s="64" t="s">
        <v>235</v>
      </c>
      <c r="AA75" s="67" t="s">
        <v>222</v>
      </c>
      <c r="AB75" s="64"/>
      <c r="AC75" s="64" t="s">
        <v>222</v>
      </c>
      <c r="AD75" s="64" t="s">
        <v>222</v>
      </c>
      <c r="AE75" s="64">
        <v>10</v>
      </c>
      <c r="AF75" s="64"/>
      <c r="AG75" s="64"/>
      <c r="AH75" s="64"/>
      <c r="AI75" s="64"/>
      <c r="AJ75" s="64"/>
    </row>
    <row r="76" spans="1:36" s="70" customFormat="1" ht="76.5">
      <c r="A76" s="8">
        <v>4</v>
      </c>
      <c r="B76" s="8" t="s">
        <v>781</v>
      </c>
      <c r="C76" s="8" t="s">
        <v>477</v>
      </c>
      <c r="D76" s="8" t="s">
        <v>478</v>
      </c>
      <c r="E76" s="119" t="s">
        <v>475</v>
      </c>
      <c r="F76" s="8" t="s">
        <v>216</v>
      </c>
      <c r="G76" s="8" t="s">
        <v>217</v>
      </c>
      <c r="H76" s="66" t="s">
        <v>793</v>
      </c>
      <c r="I76" s="8" t="s">
        <v>479</v>
      </c>
      <c r="J76" s="8" t="s">
        <v>467</v>
      </c>
      <c r="K76" s="8" t="s">
        <v>220</v>
      </c>
      <c r="L76" s="8" t="s">
        <v>472</v>
      </c>
      <c r="M76" s="8"/>
      <c r="N76" s="8"/>
      <c r="O76" s="8" t="s">
        <v>222</v>
      </c>
      <c r="P76" s="8"/>
      <c r="Q76" s="8">
        <v>1</v>
      </c>
      <c r="R76" s="65">
        <v>1</v>
      </c>
      <c r="S76" s="8">
        <v>127.1</v>
      </c>
      <c r="T76" s="8">
        <v>95</v>
      </c>
      <c r="U76" s="8">
        <v>32.1</v>
      </c>
      <c r="V76" s="8">
        <v>61.5</v>
      </c>
      <c r="W76" s="8">
        <v>46</v>
      </c>
      <c r="X76" s="8">
        <v>15.5</v>
      </c>
      <c r="Y76" s="64" t="s">
        <v>223</v>
      </c>
      <c r="Z76" s="64" t="s">
        <v>235</v>
      </c>
      <c r="AA76" s="67" t="s">
        <v>222</v>
      </c>
      <c r="AB76" s="64"/>
      <c r="AC76" s="64" t="s">
        <v>222</v>
      </c>
      <c r="AD76" s="64" t="s">
        <v>222</v>
      </c>
      <c r="AE76" s="64"/>
      <c r="AF76" s="64"/>
      <c r="AG76" s="64"/>
      <c r="AH76" s="64"/>
      <c r="AI76" s="64"/>
      <c r="AJ76" s="64"/>
    </row>
    <row r="77" spans="1:36" s="70" customFormat="1" ht="76.5">
      <c r="A77" s="8">
        <v>5</v>
      </c>
      <c r="B77" s="8" t="s">
        <v>781</v>
      </c>
      <c r="C77" s="8" t="s">
        <v>480</v>
      </c>
      <c r="D77" s="8" t="s">
        <v>481</v>
      </c>
      <c r="E77" s="119" t="s">
        <v>482</v>
      </c>
      <c r="F77" s="8" t="s">
        <v>216</v>
      </c>
      <c r="G77" s="8" t="s">
        <v>217</v>
      </c>
      <c r="H77" s="66" t="s">
        <v>793</v>
      </c>
      <c r="I77" s="8" t="s">
        <v>483</v>
      </c>
      <c r="J77" s="8" t="s">
        <v>467</v>
      </c>
      <c r="K77" s="8" t="s">
        <v>220</v>
      </c>
      <c r="L77" s="8" t="s">
        <v>472</v>
      </c>
      <c r="M77" s="8"/>
      <c r="N77" s="8"/>
      <c r="O77" s="8"/>
      <c r="P77" s="8" t="s">
        <v>222</v>
      </c>
      <c r="Q77" s="8">
        <v>1</v>
      </c>
      <c r="R77" s="65">
        <v>1</v>
      </c>
      <c r="S77" s="8">
        <v>90.4</v>
      </c>
      <c r="T77" s="8">
        <v>70</v>
      </c>
      <c r="U77" s="8">
        <v>20.4</v>
      </c>
      <c r="V77" s="8">
        <v>52</v>
      </c>
      <c r="W77" s="8">
        <v>40</v>
      </c>
      <c r="X77" s="8">
        <v>12</v>
      </c>
      <c r="Y77" s="64" t="s">
        <v>223</v>
      </c>
      <c r="Z77" s="64" t="s">
        <v>235</v>
      </c>
      <c r="AA77" s="67" t="s">
        <v>222</v>
      </c>
      <c r="AB77" s="64"/>
      <c r="AC77" s="64" t="s">
        <v>222</v>
      </c>
      <c r="AD77" s="64" t="s">
        <v>222</v>
      </c>
      <c r="AE77" s="64"/>
      <c r="AF77" s="64"/>
      <c r="AG77" s="64"/>
      <c r="AH77" s="64"/>
      <c r="AI77" s="64"/>
      <c r="AJ77" s="64"/>
    </row>
    <row r="78" spans="1:36" s="160" customFormat="1" ht="76.5">
      <c r="A78" s="143">
        <v>6</v>
      </c>
      <c r="B78" s="143" t="s">
        <v>775</v>
      </c>
      <c r="C78" s="143" t="s">
        <v>484</v>
      </c>
      <c r="D78" s="143" t="s">
        <v>485</v>
      </c>
      <c r="E78" s="156" t="s">
        <v>486</v>
      </c>
      <c r="F78" s="143" t="s">
        <v>216</v>
      </c>
      <c r="G78" s="143" t="s">
        <v>217</v>
      </c>
      <c r="H78" s="157" t="s">
        <v>793</v>
      </c>
      <c r="I78" s="143" t="s">
        <v>836</v>
      </c>
      <c r="J78" s="143" t="s">
        <v>467</v>
      </c>
      <c r="K78" s="143" t="s">
        <v>220</v>
      </c>
      <c r="L78" s="143" t="s">
        <v>837</v>
      </c>
      <c r="M78" s="143"/>
      <c r="N78" s="143"/>
      <c r="O78" s="143"/>
      <c r="P78" s="143" t="s">
        <v>222</v>
      </c>
      <c r="Q78" s="143">
        <v>2</v>
      </c>
      <c r="R78" s="161">
        <v>2</v>
      </c>
      <c r="S78" s="143">
        <v>113</v>
      </c>
      <c r="T78" s="143">
        <v>60</v>
      </c>
      <c r="U78" s="143">
        <v>15</v>
      </c>
      <c r="V78" s="143">
        <v>87</v>
      </c>
      <c r="W78" s="143">
        <v>79</v>
      </c>
      <c r="X78" s="143">
        <v>8</v>
      </c>
      <c r="Y78" s="158" t="s">
        <v>223</v>
      </c>
      <c r="Z78" s="158" t="s">
        <v>235</v>
      </c>
      <c r="AA78" s="159" t="s">
        <v>222</v>
      </c>
      <c r="AB78" s="158"/>
      <c r="AC78" s="158" t="s">
        <v>222</v>
      </c>
      <c r="AD78" s="158" t="s">
        <v>222</v>
      </c>
      <c r="AE78" s="158"/>
      <c r="AF78" s="158"/>
      <c r="AG78" s="158"/>
      <c r="AH78" s="158"/>
      <c r="AI78" s="158"/>
      <c r="AJ78" s="158"/>
    </row>
    <row r="79" spans="1:36" s="70" customFormat="1" ht="76.5">
      <c r="A79" s="8">
        <v>7</v>
      </c>
      <c r="B79" s="8" t="s">
        <v>783</v>
      </c>
      <c r="C79" s="8" t="s">
        <v>487</v>
      </c>
      <c r="D79" s="8" t="s">
        <v>488</v>
      </c>
      <c r="E79" s="119" t="s">
        <v>475</v>
      </c>
      <c r="F79" s="8" t="s">
        <v>216</v>
      </c>
      <c r="G79" s="8" t="s">
        <v>217</v>
      </c>
      <c r="H79" s="66" t="s">
        <v>793</v>
      </c>
      <c r="I79" s="8" t="s">
        <v>489</v>
      </c>
      <c r="J79" s="8" t="s">
        <v>467</v>
      </c>
      <c r="K79" s="8" t="s">
        <v>220</v>
      </c>
      <c r="L79" s="8" t="s">
        <v>493</v>
      </c>
      <c r="M79" s="8"/>
      <c r="N79" s="8"/>
      <c r="O79" s="8" t="s">
        <v>222</v>
      </c>
      <c r="P79" s="8"/>
      <c r="Q79" s="8">
        <v>1</v>
      </c>
      <c r="R79" s="65">
        <v>1</v>
      </c>
      <c r="S79" s="8">
        <v>135.4</v>
      </c>
      <c r="T79" s="8">
        <v>100</v>
      </c>
      <c r="U79" s="8">
        <v>35.4</v>
      </c>
      <c r="V79" s="8">
        <v>38.6</v>
      </c>
      <c r="W79" s="8">
        <v>29</v>
      </c>
      <c r="X79" s="8">
        <v>9.6</v>
      </c>
      <c r="Y79" s="64" t="s">
        <v>223</v>
      </c>
      <c r="Z79" s="64" t="s">
        <v>235</v>
      </c>
      <c r="AA79" s="67" t="s">
        <v>222</v>
      </c>
      <c r="AB79" s="64"/>
      <c r="AC79" s="64" t="s">
        <v>222</v>
      </c>
      <c r="AD79" s="64" t="s">
        <v>222</v>
      </c>
      <c r="AE79" s="64"/>
      <c r="AF79" s="64"/>
      <c r="AG79" s="64"/>
      <c r="AH79" s="64"/>
      <c r="AI79" s="64"/>
      <c r="AJ79" s="64"/>
    </row>
    <row r="80" spans="1:36" s="70" customFormat="1" ht="76.5">
      <c r="A80" s="8">
        <v>8</v>
      </c>
      <c r="B80" s="8" t="s">
        <v>784</v>
      </c>
      <c r="C80" s="8" t="s">
        <v>490</v>
      </c>
      <c r="D80" s="8" t="s">
        <v>491</v>
      </c>
      <c r="E80" s="119" t="s">
        <v>475</v>
      </c>
      <c r="F80" s="8" t="s">
        <v>216</v>
      </c>
      <c r="G80" s="8" t="s">
        <v>217</v>
      </c>
      <c r="H80" s="66" t="s">
        <v>793</v>
      </c>
      <c r="I80" s="8" t="s">
        <v>492</v>
      </c>
      <c r="J80" s="8" t="s">
        <v>467</v>
      </c>
      <c r="K80" s="8" t="s">
        <v>220</v>
      </c>
      <c r="L80" s="8" t="s">
        <v>493</v>
      </c>
      <c r="M80" s="8"/>
      <c r="N80" s="8"/>
      <c r="O80" s="8"/>
      <c r="P80" s="8" t="s">
        <v>222</v>
      </c>
      <c r="Q80" s="8">
        <v>1</v>
      </c>
      <c r="R80" s="65">
        <v>1</v>
      </c>
      <c r="S80" s="8">
        <v>81.4</v>
      </c>
      <c r="T80" s="8">
        <v>61</v>
      </c>
      <c r="U80" s="8">
        <v>20.4</v>
      </c>
      <c r="V80" s="8">
        <v>50.9</v>
      </c>
      <c r="W80" s="8">
        <v>38</v>
      </c>
      <c r="X80" s="8">
        <v>12.9</v>
      </c>
      <c r="Y80" s="64" t="s">
        <v>223</v>
      </c>
      <c r="Z80" s="64" t="s">
        <v>235</v>
      </c>
      <c r="AA80" s="67" t="s">
        <v>222</v>
      </c>
      <c r="AB80" s="64"/>
      <c r="AC80" s="64" t="s">
        <v>222</v>
      </c>
      <c r="AD80" s="64" t="s">
        <v>222</v>
      </c>
      <c r="AE80" s="64"/>
      <c r="AF80" s="64"/>
      <c r="AG80" s="64"/>
      <c r="AH80" s="64"/>
      <c r="AI80" s="64"/>
      <c r="AJ80" s="64"/>
    </row>
    <row r="81" spans="1:36" s="70" customFormat="1" ht="18.75" hidden="1">
      <c r="A81" s="8"/>
      <c r="B81" s="8"/>
      <c r="C81" s="8"/>
      <c r="D81" s="8"/>
      <c r="E81" s="119"/>
      <c r="F81" s="8"/>
      <c r="G81" s="8"/>
      <c r="H81" s="66"/>
      <c r="I81" s="8"/>
      <c r="J81" s="8"/>
      <c r="K81" s="8"/>
      <c r="L81" s="8"/>
      <c r="M81" s="8"/>
      <c r="N81" s="8"/>
      <c r="O81" s="8"/>
      <c r="P81" s="8"/>
      <c r="Q81" s="8"/>
      <c r="R81" s="65"/>
      <c r="S81" s="8"/>
      <c r="T81" s="8"/>
      <c r="U81" s="8"/>
      <c r="V81" s="8"/>
      <c r="W81" s="8"/>
      <c r="X81" s="8"/>
      <c r="Y81" s="64"/>
      <c r="Z81" s="64"/>
      <c r="AA81" s="67"/>
      <c r="AB81" s="64"/>
      <c r="AC81" s="64"/>
      <c r="AD81" s="64"/>
      <c r="AE81" s="64"/>
      <c r="AF81" s="64"/>
      <c r="AG81" s="64"/>
      <c r="AH81" s="64"/>
      <c r="AI81" s="64"/>
      <c r="AJ81" s="64"/>
    </row>
    <row r="82" spans="1:36" s="70" customFormat="1" ht="76.5">
      <c r="A82" s="8">
        <v>9</v>
      </c>
      <c r="B82" s="8" t="s">
        <v>785</v>
      </c>
      <c r="C82" s="8" t="s">
        <v>494</v>
      </c>
      <c r="D82" s="8" t="s">
        <v>495</v>
      </c>
      <c r="E82" s="119" t="s">
        <v>475</v>
      </c>
      <c r="F82" s="8" t="s">
        <v>216</v>
      </c>
      <c r="G82" s="8" t="s">
        <v>217</v>
      </c>
      <c r="H82" s="66" t="s">
        <v>793</v>
      </c>
      <c r="I82" s="8" t="s">
        <v>725</v>
      </c>
      <c r="J82" s="8" t="s">
        <v>467</v>
      </c>
      <c r="K82" s="8" t="s">
        <v>220</v>
      </c>
      <c r="L82" s="8" t="s">
        <v>493</v>
      </c>
      <c r="M82" s="8"/>
      <c r="N82" s="8"/>
      <c r="O82" s="8"/>
      <c r="P82" s="8" t="s">
        <v>222</v>
      </c>
      <c r="Q82" s="8">
        <v>1</v>
      </c>
      <c r="R82" s="65">
        <v>1</v>
      </c>
      <c r="S82" s="8">
        <v>110.9</v>
      </c>
      <c r="T82" s="8">
        <v>83</v>
      </c>
      <c r="U82" s="8">
        <v>27.9</v>
      </c>
      <c r="V82" s="8">
        <v>55</v>
      </c>
      <c r="W82" s="8">
        <v>41</v>
      </c>
      <c r="X82" s="8">
        <v>14</v>
      </c>
      <c r="Y82" s="64" t="s">
        <v>223</v>
      </c>
      <c r="Z82" s="64" t="s">
        <v>235</v>
      </c>
      <c r="AA82" s="67" t="s">
        <v>222</v>
      </c>
      <c r="AB82" s="64"/>
      <c r="AC82" s="64" t="s">
        <v>222</v>
      </c>
      <c r="AD82" s="64" t="s">
        <v>222</v>
      </c>
      <c r="AE82" s="64">
        <v>50</v>
      </c>
      <c r="AF82" s="64"/>
      <c r="AG82" s="64"/>
      <c r="AH82" s="64"/>
      <c r="AI82" s="64"/>
      <c r="AJ82" s="64"/>
    </row>
    <row r="83" spans="1:36" s="70" customFormat="1" ht="76.5">
      <c r="A83" s="8">
        <v>10</v>
      </c>
      <c r="B83" s="8" t="s">
        <v>786</v>
      </c>
      <c r="C83" s="8" t="s">
        <v>496</v>
      </c>
      <c r="D83" s="8" t="s">
        <v>789</v>
      </c>
      <c r="E83" s="119" t="s">
        <v>475</v>
      </c>
      <c r="F83" s="8" t="s">
        <v>216</v>
      </c>
      <c r="G83" s="8" t="s">
        <v>217</v>
      </c>
      <c r="H83" s="66" t="s">
        <v>793</v>
      </c>
      <c r="I83" s="8" t="s">
        <v>726</v>
      </c>
      <c r="J83" s="8" t="s">
        <v>467</v>
      </c>
      <c r="K83" s="8" t="s">
        <v>220</v>
      </c>
      <c r="L83" s="8" t="s">
        <v>493</v>
      </c>
      <c r="M83" s="8"/>
      <c r="N83" s="8"/>
      <c r="O83" s="8" t="s">
        <v>222</v>
      </c>
      <c r="P83" s="8"/>
      <c r="Q83" s="8">
        <v>1</v>
      </c>
      <c r="R83" s="65">
        <v>1</v>
      </c>
      <c r="S83" s="8">
        <v>160</v>
      </c>
      <c r="T83" s="8">
        <v>120</v>
      </c>
      <c r="U83" s="8">
        <v>40</v>
      </c>
      <c r="V83" s="8">
        <v>31</v>
      </c>
      <c r="W83" s="8">
        <v>23</v>
      </c>
      <c r="X83" s="8">
        <v>8</v>
      </c>
      <c r="Y83" s="64" t="s">
        <v>223</v>
      </c>
      <c r="Z83" s="64" t="s">
        <v>235</v>
      </c>
      <c r="AA83" s="67" t="s">
        <v>222</v>
      </c>
      <c r="AB83" s="64"/>
      <c r="AC83" s="64" t="s">
        <v>222</v>
      </c>
      <c r="AD83" s="64" t="s">
        <v>222</v>
      </c>
      <c r="AE83" s="64"/>
      <c r="AF83" s="64"/>
      <c r="AG83" s="64"/>
      <c r="AH83" s="64"/>
      <c r="AI83" s="64"/>
      <c r="AJ83" s="64"/>
    </row>
    <row r="84" spans="1:36" s="70" customFormat="1" ht="76.5">
      <c r="A84" s="8">
        <v>11</v>
      </c>
      <c r="B84" s="8" t="s">
        <v>785</v>
      </c>
      <c r="C84" s="8" t="s">
        <v>497</v>
      </c>
      <c r="D84" s="8" t="s">
        <v>385</v>
      </c>
      <c r="E84" s="119">
        <v>84864321408</v>
      </c>
      <c r="F84" s="8" t="s">
        <v>498</v>
      </c>
      <c r="G84" s="8" t="s">
        <v>499</v>
      </c>
      <c r="H84" s="8" t="s">
        <v>500</v>
      </c>
      <c r="I84" s="8" t="s">
        <v>501</v>
      </c>
      <c r="J84" s="8" t="s">
        <v>502</v>
      </c>
      <c r="K84" s="8"/>
      <c r="L84" s="8" t="s">
        <v>503</v>
      </c>
      <c r="M84" s="8"/>
      <c r="N84" s="8"/>
      <c r="O84" s="8"/>
      <c r="P84" s="8" t="s">
        <v>222</v>
      </c>
      <c r="Q84" s="8">
        <v>4</v>
      </c>
      <c r="R84" s="65">
        <v>4</v>
      </c>
      <c r="S84" s="8">
        <v>99</v>
      </c>
      <c r="T84" s="8">
        <v>52</v>
      </c>
      <c r="U84" s="8">
        <v>47</v>
      </c>
      <c r="V84" s="8">
        <v>45</v>
      </c>
      <c r="W84" s="8">
        <v>24</v>
      </c>
      <c r="X84" s="8">
        <v>21</v>
      </c>
      <c r="Y84" s="64"/>
      <c r="Z84" s="64" t="s">
        <v>235</v>
      </c>
      <c r="AA84" s="67" t="s">
        <v>222</v>
      </c>
      <c r="AB84" s="64"/>
      <c r="AC84" s="64"/>
      <c r="AD84" s="64"/>
      <c r="AE84" s="64"/>
      <c r="AF84" s="64"/>
      <c r="AG84" s="64"/>
      <c r="AH84" s="64" t="s">
        <v>222</v>
      </c>
      <c r="AI84" s="64"/>
      <c r="AJ84" s="64"/>
    </row>
    <row r="85" spans="1:36" s="70" customFormat="1" ht="63.75">
      <c r="A85" s="8">
        <v>12</v>
      </c>
      <c r="B85" s="8" t="s">
        <v>775</v>
      </c>
      <c r="C85" s="8" t="s">
        <v>248</v>
      </c>
      <c r="D85" s="8" t="s">
        <v>242</v>
      </c>
      <c r="E85" s="119">
        <v>84864321337</v>
      </c>
      <c r="F85" s="8" t="s">
        <v>504</v>
      </c>
      <c r="G85" s="8" t="s">
        <v>505</v>
      </c>
      <c r="H85" s="8" t="s">
        <v>506</v>
      </c>
      <c r="I85" s="8" t="s">
        <v>507</v>
      </c>
      <c r="J85" s="8" t="s">
        <v>508</v>
      </c>
      <c r="K85" s="8"/>
      <c r="L85" s="8" t="s">
        <v>353</v>
      </c>
      <c r="M85" s="8"/>
      <c r="N85" s="8"/>
      <c r="O85" s="8" t="s">
        <v>222</v>
      </c>
      <c r="P85" s="8"/>
      <c r="Q85" s="8">
        <v>3</v>
      </c>
      <c r="R85" s="65">
        <v>2</v>
      </c>
      <c r="S85" s="8">
        <v>93.1</v>
      </c>
      <c r="T85" s="8">
        <v>74.1</v>
      </c>
      <c r="U85" s="8">
        <v>19</v>
      </c>
      <c r="V85" s="8">
        <v>44.8</v>
      </c>
      <c r="W85" s="8">
        <v>35.6</v>
      </c>
      <c r="X85" s="8">
        <v>9.2</v>
      </c>
      <c r="Y85" s="64"/>
      <c r="Z85" s="64" t="s">
        <v>224</v>
      </c>
      <c r="AA85" s="67"/>
      <c r="AB85" s="64"/>
      <c r="AC85" s="64"/>
      <c r="AD85" s="64"/>
      <c r="AE85" s="64"/>
      <c r="AF85" s="64"/>
      <c r="AG85" s="64"/>
      <c r="AH85" s="64"/>
      <c r="AI85" s="64"/>
      <c r="AJ85" s="64"/>
    </row>
    <row r="86" spans="1:36" s="70" customFormat="1" ht="18.75" hidden="1">
      <c r="A86" s="8"/>
      <c r="B86" s="8"/>
      <c r="C86" s="8"/>
      <c r="D86" s="8"/>
      <c r="E86" s="11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65"/>
      <c r="S86" s="8"/>
      <c r="T86" s="8"/>
      <c r="U86" s="8"/>
      <c r="V86" s="8"/>
      <c r="W86" s="8"/>
      <c r="X86" s="8"/>
      <c r="Y86" s="64"/>
      <c r="Z86" s="64"/>
      <c r="AA86" s="67"/>
      <c r="AB86" s="64"/>
      <c r="AC86" s="64"/>
      <c r="AD86" s="64"/>
      <c r="AE86" s="64"/>
      <c r="AF86" s="64"/>
      <c r="AG86" s="64"/>
      <c r="AH86" s="64"/>
      <c r="AI86" s="64"/>
      <c r="AJ86" s="64"/>
    </row>
    <row r="87" spans="1:36" s="70" customFormat="1" ht="64.5" customHeight="1">
      <c r="A87" s="8">
        <v>13</v>
      </c>
      <c r="B87" s="8" t="s">
        <v>784</v>
      </c>
      <c r="C87" s="8" t="s">
        <v>248</v>
      </c>
      <c r="D87" s="8" t="s">
        <v>331</v>
      </c>
      <c r="E87" s="119">
        <v>9066637750</v>
      </c>
      <c r="F87" s="8" t="s">
        <v>766</v>
      </c>
      <c r="G87" s="8" t="s">
        <v>251</v>
      </c>
      <c r="H87" s="8" t="s">
        <v>252</v>
      </c>
      <c r="I87" s="8" t="s">
        <v>252</v>
      </c>
      <c r="J87" s="8" t="s">
        <v>510</v>
      </c>
      <c r="K87" s="8" t="s">
        <v>220</v>
      </c>
      <c r="L87" s="8" t="s">
        <v>247</v>
      </c>
      <c r="M87" s="8"/>
      <c r="N87" s="8"/>
      <c r="O87" s="8" t="s">
        <v>222</v>
      </c>
      <c r="P87" s="8"/>
      <c r="Q87" s="8">
        <v>2</v>
      </c>
      <c r="R87" s="65">
        <v>2</v>
      </c>
      <c r="S87" s="8">
        <v>86</v>
      </c>
      <c r="T87" s="8">
        <v>69</v>
      </c>
      <c r="U87" s="8">
        <v>17</v>
      </c>
      <c r="V87" s="8">
        <v>50</v>
      </c>
      <c r="W87" s="8">
        <v>40</v>
      </c>
      <c r="X87" s="8">
        <v>10</v>
      </c>
      <c r="Y87" s="64" t="s">
        <v>223</v>
      </c>
      <c r="Z87" s="64" t="s">
        <v>235</v>
      </c>
      <c r="AA87" s="67" t="s">
        <v>222</v>
      </c>
      <c r="AB87" s="64"/>
      <c r="AC87" s="64" t="s">
        <v>222</v>
      </c>
      <c r="AD87" s="64" t="s">
        <v>222</v>
      </c>
      <c r="AE87" s="64"/>
      <c r="AF87" s="64"/>
      <c r="AG87" s="64"/>
      <c r="AH87" s="64"/>
      <c r="AI87" s="64"/>
      <c r="AJ87" s="64"/>
    </row>
    <row r="88" spans="1:36" s="70" customFormat="1" ht="0.75" customHeight="1" hidden="1">
      <c r="A88" s="8"/>
      <c r="B88" s="8"/>
      <c r="C88" s="8"/>
      <c r="D88" s="8"/>
      <c r="E88" s="11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65"/>
      <c r="S88" s="8"/>
      <c r="T88" s="8"/>
      <c r="U88" s="8"/>
      <c r="V88" s="8"/>
      <c r="W88" s="8"/>
      <c r="X88" s="8"/>
      <c r="Y88" s="64"/>
      <c r="Z88" s="64"/>
      <c r="AA88" s="67"/>
      <c r="AB88" s="64"/>
      <c r="AC88" s="64"/>
      <c r="AD88" s="64"/>
      <c r="AE88" s="64"/>
      <c r="AF88" s="64"/>
      <c r="AG88" s="64"/>
      <c r="AH88" s="64"/>
      <c r="AI88" s="64"/>
      <c r="AJ88" s="64"/>
    </row>
    <row r="89" spans="1:36" s="70" customFormat="1" ht="63.75">
      <c r="A89" s="8">
        <v>14</v>
      </c>
      <c r="B89" s="8" t="s">
        <v>774</v>
      </c>
      <c r="C89" s="8" t="s">
        <v>332</v>
      </c>
      <c r="D89" s="8" t="s">
        <v>333</v>
      </c>
      <c r="E89" s="119" t="s">
        <v>334</v>
      </c>
      <c r="F89" s="8" t="s">
        <v>767</v>
      </c>
      <c r="G89" s="8" t="s">
        <v>511</v>
      </c>
      <c r="H89" s="8" t="s">
        <v>512</v>
      </c>
      <c r="I89" s="8" t="s">
        <v>513</v>
      </c>
      <c r="J89" s="8" t="s">
        <v>514</v>
      </c>
      <c r="K89" s="8" t="s">
        <v>220</v>
      </c>
      <c r="L89" s="8" t="s">
        <v>515</v>
      </c>
      <c r="M89" s="8"/>
      <c r="N89" s="8"/>
      <c r="O89" s="8"/>
      <c r="P89" s="8" t="s">
        <v>222</v>
      </c>
      <c r="Q89" s="8">
        <v>12</v>
      </c>
      <c r="R89" s="65">
        <v>10</v>
      </c>
      <c r="S89" s="8">
        <v>281.9</v>
      </c>
      <c r="T89" s="8">
        <v>266.8</v>
      </c>
      <c r="U89" s="8">
        <v>15.1</v>
      </c>
      <c r="V89" s="8">
        <v>161.1</v>
      </c>
      <c r="W89" s="8">
        <v>146</v>
      </c>
      <c r="X89" s="8">
        <v>15.1</v>
      </c>
      <c r="Y89" s="64" t="s">
        <v>223</v>
      </c>
      <c r="Z89" s="64" t="s">
        <v>235</v>
      </c>
      <c r="AA89" s="67" t="s">
        <v>222</v>
      </c>
      <c r="AB89" s="64"/>
      <c r="AC89" s="64" t="s">
        <v>222</v>
      </c>
      <c r="AD89" s="64" t="s">
        <v>222</v>
      </c>
      <c r="AE89" s="64"/>
      <c r="AF89" s="64"/>
      <c r="AG89" s="64" t="s">
        <v>222</v>
      </c>
      <c r="AH89" s="64"/>
      <c r="AI89" s="64"/>
      <c r="AJ89" s="64"/>
    </row>
    <row r="90" spans="1:36" s="70" customFormat="1" ht="63.75">
      <c r="A90" s="8">
        <v>15</v>
      </c>
      <c r="B90" s="8" t="s">
        <v>782</v>
      </c>
      <c r="C90" s="8" t="s">
        <v>248</v>
      </c>
      <c r="D90" s="8" t="s">
        <v>516</v>
      </c>
      <c r="E90" s="119">
        <v>9066637750</v>
      </c>
      <c r="F90" s="8" t="s">
        <v>250</v>
      </c>
      <c r="G90" s="8" t="s">
        <v>251</v>
      </c>
      <c r="H90" s="8" t="s">
        <v>252</v>
      </c>
      <c r="I90" s="8" t="s">
        <v>252</v>
      </c>
      <c r="J90" s="8" t="s">
        <v>510</v>
      </c>
      <c r="K90" s="8" t="s">
        <v>233</v>
      </c>
      <c r="L90" s="8" t="s">
        <v>336</v>
      </c>
      <c r="M90" s="8"/>
      <c r="N90" s="8"/>
      <c r="O90" s="8" t="s">
        <v>222</v>
      </c>
      <c r="P90" s="8"/>
      <c r="Q90" s="8">
        <v>2</v>
      </c>
      <c r="R90" s="65">
        <v>2</v>
      </c>
      <c r="S90" s="8">
        <v>83.5</v>
      </c>
      <c r="T90" s="8">
        <v>77.9</v>
      </c>
      <c r="U90" s="8">
        <v>5.6</v>
      </c>
      <c r="V90" s="8">
        <v>48.6</v>
      </c>
      <c r="W90" s="8">
        <v>43</v>
      </c>
      <c r="X90" s="8">
        <v>5.6</v>
      </c>
      <c r="Y90" s="64" t="s">
        <v>223</v>
      </c>
      <c r="Z90" s="64" t="s">
        <v>235</v>
      </c>
      <c r="AA90" s="67" t="s">
        <v>222</v>
      </c>
      <c r="AB90" s="64"/>
      <c r="AC90" s="64" t="s">
        <v>222</v>
      </c>
      <c r="AD90" s="64" t="s">
        <v>222</v>
      </c>
      <c r="AE90" s="64"/>
      <c r="AF90" s="64"/>
      <c r="AG90" s="64"/>
      <c r="AH90" s="64"/>
      <c r="AI90" s="64"/>
      <c r="AJ90" s="64"/>
    </row>
    <row r="91" spans="1:36" s="70" customFormat="1" ht="52.5">
      <c r="A91" s="8">
        <v>16</v>
      </c>
      <c r="B91" s="8" t="s">
        <v>783</v>
      </c>
      <c r="C91" s="8" t="s">
        <v>248</v>
      </c>
      <c r="D91" s="8" t="s">
        <v>335</v>
      </c>
      <c r="E91" s="119">
        <v>9066637750</v>
      </c>
      <c r="F91" s="8" t="s">
        <v>766</v>
      </c>
      <c r="G91" s="8" t="s">
        <v>251</v>
      </c>
      <c r="H91" s="8" t="s">
        <v>252</v>
      </c>
      <c r="I91" s="8" t="s">
        <v>252</v>
      </c>
      <c r="J91" s="8" t="s">
        <v>514</v>
      </c>
      <c r="K91" s="8" t="s">
        <v>220</v>
      </c>
      <c r="L91" s="8" t="s">
        <v>247</v>
      </c>
      <c r="M91" s="8"/>
      <c r="N91" s="8"/>
      <c r="O91" s="8" t="s">
        <v>222</v>
      </c>
      <c r="P91" s="8"/>
      <c r="Q91" s="8">
        <v>2</v>
      </c>
      <c r="R91" s="65">
        <v>2</v>
      </c>
      <c r="S91" s="8">
        <v>82</v>
      </c>
      <c r="T91" s="8">
        <v>79</v>
      </c>
      <c r="U91" s="8">
        <v>3</v>
      </c>
      <c r="V91" s="8">
        <v>37</v>
      </c>
      <c r="W91" s="8">
        <v>34</v>
      </c>
      <c r="X91" s="8">
        <v>3</v>
      </c>
      <c r="Y91" s="64" t="s">
        <v>223</v>
      </c>
      <c r="Z91" s="64" t="s">
        <v>235</v>
      </c>
      <c r="AA91" s="67" t="s">
        <v>222</v>
      </c>
      <c r="AB91" s="64"/>
      <c r="AC91" s="64" t="s">
        <v>222</v>
      </c>
      <c r="AD91" s="64" t="s">
        <v>222</v>
      </c>
      <c r="AE91" s="64"/>
      <c r="AF91" s="64"/>
      <c r="AG91" s="64"/>
      <c r="AH91" s="64"/>
      <c r="AI91" s="64"/>
      <c r="AJ91" s="64"/>
    </row>
    <row r="92" spans="1:36" s="70" customFormat="1" ht="65.25">
      <c r="A92" s="8">
        <v>17</v>
      </c>
      <c r="B92" s="8" t="s">
        <v>782</v>
      </c>
      <c r="C92" s="8" t="s">
        <v>248</v>
      </c>
      <c r="D92" s="8" t="s">
        <v>517</v>
      </c>
      <c r="E92" s="119">
        <v>9066637750</v>
      </c>
      <c r="F92" s="8" t="s">
        <v>250</v>
      </c>
      <c r="G92" s="8" t="s">
        <v>251</v>
      </c>
      <c r="H92" s="8" t="s">
        <v>252</v>
      </c>
      <c r="I92" s="8" t="s">
        <v>252</v>
      </c>
      <c r="J92" s="8" t="s">
        <v>510</v>
      </c>
      <c r="K92" s="8" t="s">
        <v>233</v>
      </c>
      <c r="L92" s="8" t="s">
        <v>247</v>
      </c>
      <c r="M92" s="8"/>
      <c r="N92" s="8"/>
      <c r="O92" s="8" t="s">
        <v>222</v>
      </c>
      <c r="P92" s="8"/>
      <c r="Q92" s="8">
        <v>2</v>
      </c>
      <c r="R92" s="65">
        <v>2</v>
      </c>
      <c r="S92" s="8">
        <v>50</v>
      </c>
      <c r="T92" s="8">
        <v>47</v>
      </c>
      <c r="U92" s="8">
        <v>3</v>
      </c>
      <c r="V92" s="8">
        <v>37</v>
      </c>
      <c r="W92" s="8">
        <v>34</v>
      </c>
      <c r="X92" s="8">
        <v>3</v>
      </c>
      <c r="Y92" s="64" t="s">
        <v>223</v>
      </c>
      <c r="Z92" s="64" t="s">
        <v>235</v>
      </c>
      <c r="AA92" s="67" t="s">
        <v>222</v>
      </c>
      <c r="AB92" s="64"/>
      <c r="AC92" s="64" t="s">
        <v>222</v>
      </c>
      <c r="AD92" s="64" t="s">
        <v>222</v>
      </c>
      <c r="AE92" s="64"/>
      <c r="AF92" s="64"/>
      <c r="AG92" s="64"/>
      <c r="AH92" s="64"/>
      <c r="AI92" s="64"/>
      <c r="AJ92" s="64"/>
    </row>
    <row r="93" spans="1:36" s="70" customFormat="1" ht="103.5">
      <c r="A93" s="8">
        <v>18</v>
      </c>
      <c r="B93" s="8" t="s">
        <v>785</v>
      </c>
      <c r="C93" s="8" t="s">
        <v>248</v>
      </c>
      <c r="D93" s="8" t="s">
        <v>519</v>
      </c>
      <c r="E93" s="119" t="s">
        <v>520</v>
      </c>
      <c r="F93" s="8" t="s">
        <v>810</v>
      </c>
      <c r="G93" s="8"/>
      <c r="H93" s="8" t="s">
        <v>811</v>
      </c>
      <c r="I93" s="8" t="s">
        <v>812</v>
      </c>
      <c r="J93" s="8" t="s">
        <v>521</v>
      </c>
      <c r="K93" s="8"/>
      <c r="L93" s="8" t="s">
        <v>299</v>
      </c>
      <c r="M93" s="8"/>
      <c r="N93" s="8"/>
      <c r="O93" s="8" t="s">
        <v>222</v>
      </c>
      <c r="P93" s="8"/>
      <c r="Q93" s="8">
        <v>2</v>
      </c>
      <c r="R93" s="65">
        <v>1</v>
      </c>
      <c r="S93" s="8">
        <v>58.4</v>
      </c>
      <c r="T93" s="8">
        <v>55.4</v>
      </c>
      <c r="U93" s="8">
        <v>3</v>
      </c>
      <c r="V93" s="8">
        <v>56.3</v>
      </c>
      <c r="W93" s="8">
        <v>53.3</v>
      </c>
      <c r="X93" s="8">
        <v>3</v>
      </c>
      <c r="Y93" s="64" t="s">
        <v>223</v>
      </c>
      <c r="Z93" s="64" t="s">
        <v>325</v>
      </c>
      <c r="AA93" s="67"/>
      <c r="AB93" s="64"/>
      <c r="AC93" s="64"/>
      <c r="AD93" s="64"/>
      <c r="AE93" s="64"/>
      <c r="AF93" s="64"/>
      <c r="AG93" s="64"/>
      <c r="AH93" s="64"/>
      <c r="AI93" s="64"/>
      <c r="AJ93" s="64"/>
    </row>
    <row r="94" spans="1:36" s="70" customFormat="1" ht="65.25">
      <c r="A94" s="8">
        <v>19</v>
      </c>
      <c r="B94" s="8" t="s">
        <v>785</v>
      </c>
      <c r="C94" s="8" t="s">
        <v>248</v>
      </c>
      <c r="D94" s="8" t="s">
        <v>337</v>
      </c>
      <c r="E94" s="119">
        <v>9066637750</v>
      </c>
      <c r="F94" s="8" t="s">
        <v>766</v>
      </c>
      <c r="G94" s="8" t="s">
        <v>251</v>
      </c>
      <c r="H94" s="8" t="s">
        <v>252</v>
      </c>
      <c r="I94" s="8" t="s">
        <v>252</v>
      </c>
      <c r="J94" s="8" t="s">
        <v>514</v>
      </c>
      <c r="K94" s="8" t="s">
        <v>220</v>
      </c>
      <c r="L94" s="8" t="s">
        <v>336</v>
      </c>
      <c r="M94" s="8"/>
      <c r="N94" s="8"/>
      <c r="O94" s="8" t="s">
        <v>222</v>
      </c>
      <c r="P94" s="8"/>
      <c r="Q94" s="8">
        <v>2</v>
      </c>
      <c r="R94" s="65">
        <v>2</v>
      </c>
      <c r="S94" s="8">
        <v>60.2</v>
      </c>
      <c r="T94" s="8">
        <v>55.2</v>
      </c>
      <c r="U94" s="8">
        <v>5</v>
      </c>
      <c r="V94" s="8">
        <v>57.4</v>
      </c>
      <c r="W94" s="8">
        <v>52.4</v>
      </c>
      <c r="X94" s="8">
        <v>5</v>
      </c>
      <c r="Y94" s="64" t="s">
        <v>223</v>
      </c>
      <c r="Z94" s="64" t="s">
        <v>235</v>
      </c>
      <c r="AA94" s="67" t="s">
        <v>222</v>
      </c>
      <c r="AB94" s="64"/>
      <c r="AC94" s="64" t="s">
        <v>222</v>
      </c>
      <c r="AD94" s="64" t="s">
        <v>222</v>
      </c>
      <c r="AE94" s="64"/>
      <c r="AF94" s="64"/>
      <c r="AG94" s="64"/>
      <c r="AH94" s="64"/>
      <c r="AI94" s="64"/>
      <c r="AJ94" s="64"/>
    </row>
    <row r="95" spans="1:36" s="70" customFormat="1" ht="65.25">
      <c r="A95" s="8">
        <v>20</v>
      </c>
      <c r="B95" s="8" t="s">
        <v>781</v>
      </c>
      <c r="C95" s="8" t="s">
        <v>338</v>
      </c>
      <c r="D95" s="8" t="s">
        <v>339</v>
      </c>
      <c r="E95" s="119" t="s">
        <v>330</v>
      </c>
      <c r="F95" s="8" t="s">
        <v>761</v>
      </c>
      <c r="G95" s="8" t="s">
        <v>522</v>
      </c>
      <c r="H95" s="8" t="s">
        <v>259</v>
      </c>
      <c r="I95" s="8" t="s">
        <v>259</v>
      </c>
      <c r="J95" s="8" t="s">
        <v>523</v>
      </c>
      <c r="K95" s="8" t="s">
        <v>220</v>
      </c>
      <c r="L95" s="8" t="s">
        <v>285</v>
      </c>
      <c r="M95" s="8"/>
      <c r="N95" s="8"/>
      <c r="O95" s="8" t="s">
        <v>222</v>
      </c>
      <c r="P95" s="8"/>
      <c r="Q95" s="8">
        <v>3</v>
      </c>
      <c r="R95" s="65">
        <v>3</v>
      </c>
      <c r="S95" s="8">
        <v>87.8</v>
      </c>
      <c r="T95" s="8">
        <v>57</v>
      </c>
      <c r="U95" s="8">
        <v>30.8</v>
      </c>
      <c r="V95" s="8">
        <v>37</v>
      </c>
      <c r="W95" s="8">
        <v>30</v>
      </c>
      <c r="X95" s="8">
        <v>7</v>
      </c>
      <c r="Y95" s="64" t="s">
        <v>223</v>
      </c>
      <c r="Z95" s="64" t="s">
        <v>235</v>
      </c>
      <c r="AA95" s="67" t="s">
        <v>222</v>
      </c>
      <c r="AB95" s="64"/>
      <c r="AC95" s="64" t="s">
        <v>222</v>
      </c>
      <c r="AD95" s="64" t="s">
        <v>222</v>
      </c>
      <c r="AE95" s="64"/>
      <c r="AF95" s="64"/>
      <c r="AG95" s="64"/>
      <c r="AH95" s="64" t="s">
        <v>222</v>
      </c>
      <c r="AI95" s="64"/>
      <c r="AJ95" s="64"/>
    </row>
    <row r="96" spans="1:36" s="118" customFormat="1" ht="65.25">
      <c r="A96" s="114">
        <v>21</v>
      </c>
      <c r="B96" s="114" t="s">
        <v>774</v>
      </c>
      <c r="C96" s="114" t="s">
        <v>592</v>
      </c>
      <c r="D96" s="114" t="s">
        <v>524</v>
      </c>
      <c r="E96" s="133">
        <v>89208096088</v>
      </c>
      <c r="F96" s="114" t="s">
        <v>593</v>
      </c>
      <c r="G96" s="114" t="s">
        <v>594</v>
      </c>
      <c r="H96" s="114" t="s">
        <v>595</v>
      </c>
      <c r="I96" s="114" t="s">
        <v>596</v>
      </c>
      <c r="J96" s="114" t="s">
        <v>510</v>
      </c>
      <c r="K96" s="114" t="s">
        <v>220</v>
      </c>
      <c r="L96" s="114" t="s">
        <v>597</v>
      </c>
      <c r="M96" s="114"/>
      <c r="N96" s="114"/>
      <c r="O96" s="114"/>
      <c r="P96" s="114" t="s">
        <v>222</v>
      </c>
      <c r="Q96" s="114">
        <v>5</v>
      </c>
      <c r="R96" s="115">
        <v>4</v>
      </c>
      <c r="S96" s="114">
        <v>162</v>
      </c>
      <c r="T96" s="114">
        <v>152</v>
      </c>
      <c r="U96" s="114">
        <v>10</v>
      </c>
      <c r="V96" s="114">
        <v>81.9</v>
      </c>
      <c r="W96" s="114">
        <v>80</v>
      </c>
      <c r="X96" s="114">
        <v>1.9</v>
      </c>
      <c r="Y96" s="116" t="s">
        <v>223</v>
      </c>
      <c r="Z96" s="116" t="s">
        <v>235</v>
      </c>
      <c r="AA96" s="117" t="s">
        <v>222</v>
      </c>
      <c r="AB96" s="116" t="s">
        <v>809</v>
      </c>
      <c r="AC96" s="116" t="s">
        <v>222</v>
      </c>
      <c r="AD96" s="116" t="s">
        <v>222</v>
      </c>
      <c r="AE96" s="116"/>
      <c r="AF96" s="116"/>
      <c r="AG96" s="116" t="s">
        <v>222</v>
      </c>
      <c r="AH96" s="116"/>
      <c r="AI96" s="116"/>
      <c r="AJ96" s="116"/>
    </row>
    <row r="97" spans="1:36" s="70" customFormat="1" ht="90.75">
      <c r="A97" s="8">
        <v>22</v>
      </c>
      <c r="B97" s="8" t="s">
        <v>774</v>
      </c>
      <c r="C97" s="8" t="s">
        <v>525</v>
      </c>
      <c r="D97" s="8" t="s">
        <v>526</v>
      </c>
      <c r="E97" s="119">
        <v>84864323071</v>
      </c>
      <c r="F97" s="8" t="s">
        <v>527</v>
      </c>
      <c r="G97" s="8" t="s">
        <v>528</v>
      </c>
      <c r="H97" s="8" t="s">
        <v>529</v>
      </c>
      <c r="I97" s="8" t="s">
        <v>529</v>
      </c>
      <c r="J97" s="8" t="s">
        <v>530</v>
      </c>
      <c r="K97" s="8" t="s">
        <v>220</v>
      </c>
      <c r="L97" s="8" t="s">
        <v>468</v>
      </c>
      <c r="M97" s="8"/>
      <c r="N97" s="8"/>
      <c r="O97" s="8"/>
      <c r="P97" s="8" t="s">
        <v>222</v>
      </c>
      <c r="Q97" s="8">
        <v>13</v>
      </c>
      <c r="R97" s="65">
        <v>10</v>
      </c>
      <c r="S97" s="8">
        <v>364.3</v>
      </c>
      <c r="T97" s="8">
        <v>291.5</v>
      </c>
      <c r="U97" s="8">
        <v>72.8</v>
      </c>
      <c r="V97" s="8">
        <v>205.3</v>
      </c>
      <c r="W97" s="8">
        <v>164.3</v>
      </c>
      <c r="X97" s="8">
        <v>41</v>
      </c>
      <c r="Y97" s="64"/>
      <c r="Z97" s="64" t="s">
        <v>235</v>
      </c>
      <c r="AA97" s="67" t="s">
        <v>222</v>
      </c>
      <c r="AB97" s="64"/>
      <c r="AC97" s="64" t="s">
        <v>222</v>
      </c>
      <c r="AD97" s="64" t="s">
        <v>222</v>
      </c>
      <c r="AE97" s="64"/>
      <c r="AF97" s="64"/>
      <c r="AG97" s="64"/>
      <c r="AH97" s="64" t="s">
        <v>222</v>
      </c>
      <c r="AI97" s="64"/>
      <c r="AJ97" s="64"/>
    </row>
    <row r="98" spans="1:36" s="70" customFormat="1" ht="65.25">
      <c r="A98" s="8">
        <v>23</v>
      </c>
      <c r="B98" s="8" t="s">
        <v>778</v>
      </c>
      <c r="C98" s="143" t="s">
        <v>328</v>
      </c>
      <c r="D98" s="8" t="s">
        <v>329</v>
      </c>
      <c r="E98" s="119" t="s">
        <v>330</v>
      </c>
      <c r="F98" s="8" t="s">
        <v>761</v>
      </c>
      <c r="G98" s="8" t="s">
        <v>458</v>
      </c>
      <c r="H98" s="8" t="s">
        <v>259</v>
      </c>
      <c r="I98" s="8" t="s">
        <v>259</v>
      </c>
      <c r="J98" s="8" t="s">
        <v>514</v>
      </c>
      <c r="K98" s="8" t="s">
        <v>220</v>
      </c>
      <c r="L98" s="8" t="s">
        <v>285</v>
      </c>
      <c r="M98" s="8"/>
      <c r="N98" s="8"/>
      <c r="O98" s="8" t="s">
        <v>222</v>
      </c>
      <c r="P98" s="8"/>
      <c r="Q98" s="8">
        <v>6</v>
      </c>
      <c r="R98" s="65">
        <v>3</v>
      </c>
      <c r="S98" s="8">
        <v>76</v>
      </c>
      <c r="T98" s="8">
        <v>64</v>
      </c>
      <c r="U98" s="8">
        <v>12</v>
      </c>
      <c r="V98" s="8">
        <v>60</v>
      </c>
      <c r="W98" s="8">
        <v>48</v>
      </c>
      <c r="X98" s="8">
        <v>12</v>
      </c>
      <c r="Y98" s="64" t="s">
        <v>223</v>
      </c>
      <c r="Z98" s="64" t="s">
        <v>235</v>
      </c>
      <c r="AA98" s="67" t="s">
        <v>222</v>
      </c>
      <c r="AB98" s="64"/>
      <c r="AC98" s="64" t="s">
        <v>222</v>
      </c>
      <c r="AD98" s="64" t="s">
        <v>222</v>
      </c>
      <c r="AE98" s="64"/>
      <c r="AF98" s="64"/>
      <c r="AG98" s="64"/>
      <c r="AH98" s="64" t="s">
        <v>222</v>
      </c>
      <c r="AI98" s="64"/>
      <c r="AJ98" s="64"/>
    </row>
    <row r="99" spans="1:36" s="70" customFormat="1" ht="52.5">
      <c r="A99" s="8">
        <v>24</v>
      </c>
      <c r="B99" s="8" t="s">
        <v>774</v>
      </c>
      <c r="C99" s="8" t="s">
        <v>326</v>
      </c>
      <c r="D99" s="8" t="s">
        <v>327</v>
      </c>
      <c r="E99" s="119" t="s">
        <v>391</v>
      </c>
      <c r="F99" s="8" t="s">
        <v>765</v>
      </c>
      <c r="G99" s="8" t="s">
        <v>531</v>
      </c>
      <c r="H99" s="8" t="s">
        <v>393</v>
      </c>
      <c r="I99" s="8" t="s">
        <v>393</v>
      </c>
      <c r="J99" s="8" t="s">
        <v>514</v>
      </c>
      <c r="K99" s="8" t="s">
        <v>220</v>
      </c>
      <c r="L99" s="8" t="s">
        <v>260</v>
      </c>
      <c r="M99" s="8"/>
      <c r="N99" s="8"/>
      <c r="O99" s="8"/>
      <c r="P99" s="8" t="s">
        <v>222</v>
      </c>
      <c r="Q99" s="8">
        <v>13</v>
      </c>
      <c r="R99" s="65">
        <v>9</v>
      </c>
      <c r="S99" s="8">
        <v>257.1</v>
      </c>
      <c r="T99" s="8">
        <v>205.4</v>
      </c>
      <c r="U99" s="8">
        <v>51.7</v>
      </c>
      <c r="V99" s="8">
        <v>116.5</v>
      </c>
      <c r="W99" s="8">
        <v>106.5</v>
      </c>
      <c r="X99" s="8">
        <v>10</v>
      </c>
      <c r="Y99" s="64" t="s">
        <v>223</v>
      </c>
      <c r="Z99" s="64" t="s">
        <v>235</v>
      </c>
      <c r="AA99" s="67" t="s">
        <v>222</v>
      </c>
      <c r="AB99" s="64"/>
      <c r="AC99" s="64"/>
      <c r="AD99" s="64"/>
      <c r="AE99" s="64"/>
      <c r="AF99" s="64"/>
      <c r="AG99" s="64"/>
      <c r="AH99" s="64"/>
      <c r="AI99" s="64"/>
      <c r="AJ99" s="64"/>
    </row>
    <row r="100" spans="1:36" s="70" customFormat="1" ht="52.5">
      <c r="A100" s="8">
        <v>25</v>
      </c>
      <c r="B100" s="8" t="s">
        <v>774</v>
      </c>
      <c r="C100" s="8" t="s">
        <v>532</v>
      </c>
      <c r="D100" s="8" t="s">
        <v>533</v>
      </c>
      <c r="E100" s="119" t="s">
        <v>534</v>
      </c>
      <c r="F100" s="8" t="s">
        <v>929</v>
      </c>
      <c r="G100" s="8" t="s">
        <v>533</v>
      </c>
      <c r="H100" s="8" t="s">
        <v>930</v>
      </c>
      <c r="I100" s="8" t="s">
        <v>535</v>
      </c>
      <c r="J100" s="8" t="s">
        <v>536</v>
      </c>
      <c r="K100" s="8"/>
      <c r="L100" s="8" t="s">
        <v>468</v>
      </c>
      <c r="M100" s="8"/>
      <c r="N100" s="8"/>
      <c r="O100" s="8" t="s">
        <v>222</v>
      </c>
      <c r="P100" s="8"/>
      <c r="Q100" s="8">
        <v>1</v>
      </c>
      <c r="R100" s="65">
        <v>1</v>
      </c>
      <c r="S100" s="8">
        <v>45.6</v>
      </c>
      <c r="T100" s="8">
        <v>35</v>
      </c>
      <c r="U100" s="8">
        <v>10.6</v>
      </c>
      <c r="V100" s="8">
        <v>17.2</v>
      </c>
      <c r="W100" s="8">
        <v>13.2</v>
      </c>
      <c r="X100" s="8">
        <v>4</v>
      </c>
      <c r="Y100" s="64" t="s">
        <v>223</v>
      </c>
      <c r="Z100" s="64" t="s">
        <v>325</v>
      </c>
      <c r="AA100" s="67"/>
      <c r="AB100" s="64"/>
      <c r="AC100" s="64"/>
      <c r="AD100" s="64"/>
      <c r="AE100" s="64"/>
      <c r="AF100" s="64"/>
      <c r="AG100" s="64"/>
      <c r="AH100" s="64"/>
      <c r="AI100" s="64"/>
      <c r="AJ100" s="64"/>
    </row>
    <row r="101" spans="1:36" s="70" customFormat="1" ht="65.25">
      <c r="A101" s="8">
        <v>26</v>
      </c>
      <c r="B101" s="8" t="s">
        <v>776</v>
      </c>
      <c r="C101" s="8" t="s">
        <v>537</v>
      </c>
      <c r="D101" s="8" t="s">
        <v>538</v>
      </c>
      <c r="E101" s="119">
        <v>9202817416</v>
      </c>
      <c r="F101" s="8" t="s">
        <v>539</v>
      </c>
      <c r="G101" s="8" t="s">
        <v>269</v>
      </c>
      <c r="H101" s="8" t="s">
        <v>270</v>
      </c>
      <c r="I101" s="8" t="s">
        <v>270</v>
      </c>
      <c r="J101" s="8" t="s">
        <v>246</v>
      </c>
      <c r="K101" s="8" t="s">
        <v>233</v>
      </c>
      <c r="L101" s="8" t="s">
        <v>271</v>
      </c>
      <c r="M101" s="8"/>
      <c r="N101" s="8"/>
      <c r="O101" s="8" t="s">
        <v>222</v>
      </c>
      <c r="P101" s="8"/>
      <c r="Q101" s="8">
        <v>1</v>
      </c>
      <c r="R101" s="65">
        <v>1</v>
      </c>
      <c r="S101" s="8">
        <v>68.8</v>
      </c>
      <c r="T101" s="8">
        <v>60.8</v>
      </c>
      <c r="U101" s="8">
        <v>8</v>
      </c>
      <c r="V101" s="8">
        <v>36</v>
      </c>
      <c r="W101" s="8">
        <v>34</v>
      </c>
      <c r="X101" s="8">
        <v>2</v>
      </c>
      <c r="Y101" s="64" t="s">
        <v>223</v>
      </c>
      <c r="Z101" s="64" t="s">
        <v>325</v>
      </c>
      <c r="AA101" s="67" t="s">
        <v>222</v>
      </c>
      <c r="AB101" s="64"/>
      <c r="AC101" s="64" t="s">
        <v>222</v>
      </c>
      <c r="AD101" s="64" t="s">
        <v>222</v>
      </c>
      <c r="AE101" s="64"/>
      <c r="AF101" s="64"/>
      <c r="AG101" s="64"/>
      <c r="AH101" s="64"/>
      <c r="AI101" s="64"/>
      <c r="AJ101" s="64"/>
    </row>
    <row r="102" spans="1:36" s="70" customFormat="1" ht="52.5">
      <c r="A102" s="8">
        <v>27</v>
      </c>
      <c r="B102" s="8" t="s">
        <v>774</v>
      </c>
      <c r="C102" s="8" t="s">
        <v>323</v>
      </c>
      <c r="D102" s="8" t="s">
        <v>324</v>
      </c>
      <c r="E102" s="119" t="s">
        <v>540</v>
      </c>
      <c r="F102" s="8" t="s">
        <v>758</v>
      </c>
      <c r="G102" s="8" t="s">
        <v>229</v>
      </c>
      <c r="H102" s="8" t="s">
        <v>230</v>
      </c>
      <c r="I102" s="8" t="s">
        <v>541</v>
      </c>
      <c r="J102" s="8" t="s">
        <v>514</v>
      </c>
      <c r="K102" s="8" t="s">
        <v>220</v>
      </c>
      <c r="L102" s="8" t="s">
        <v>260</v>
      </c>
      <c r="M102" s="8"/>
      <c r="N102" s="8"/>
      <c r="O102" s="8" t="s">
        <v>222</v>
      </c>
      <c r="P102" s="8"/>
      <c r="Q102" s="8">
        <v>7</v>
      </c>
      <c r="R102" s="65">
        <v>6</v>
      </c>
      <c r="S102" s="8">
        <v>171</v>
      </c>
      <c r="T102" s="8">
        <v>128</v>
      </c>
      <c r="U102" s="8">
        <v>43</v>
      </c>
      <c r="V102" s="8">
        <v>127.3</v>
      </c>
      <c r="W102" s="8">
        <v>100</v>
      </c>
      <c r="X102" s="8">
        <v>27.3</v>
      </c>
      <c r="Y102" s="64" t="s">
        <v>223</v>
      </c>
      <c r="Z102" s="64" t="s">
        <v>325</v>
      </c>
      <c r="AA102" s="67" t="s">
        <v>222</v>
      </c>
      <c r="AB102" s="64"/>
      <c r="AC102" s="64" t="s">
        <v>222</v>
      </c>
      <c r="AD102" s="64" t="s">
        <v>222</v>
      </c>
      <c r="AE102" s="64"/>
      <c r="AF102" s="64"/>
      <c r="AG102" s="64" t="s">
        <v>222</v>
      </c>
      <c r="AH102" s="64"/>
      <c r="AI102" s="64"/>
      <c r="AJ102" s="64"/>
    </row>
    <row r="103" spans="1:36" s="70" customFormat="1" ht="65.25">
      <c r="A103" s="8">
        <v>28</v>
      </c>
      <c r="B103" s="8" t="s">
        <v>778</v>
      </c>
      <c r="C103" s="8" t="s">
        <v>322</v>
      </c>
      <c r="D103" s="8" t="s">
        <v>293</v>
      </c>
      <c r="E103" s="119" t="s">
        <v>542</v>
      </c>
      <c r="F103" s="8" t="s">
        <v>764</v>
      </c>
      <c r="G103" s="8" t="s">
        <v>543</v>
      </c>
      <c r="H103" s="8" t="s">
        <v>544</v>
      </c>
      <c r="I103" s="8" t="s">
        <v>906</v>
      </c>
      <c r="J103" s="8" t="s">
        <v>514</v>
      </c>
      <c r="K103" s="8" t="s">
        <v>220</v>
      </c>
      <c r="L103" s="8" t="s">
        <v>285</v>
      </c>
      <c r="M103" s="8"/>
      <c r="N103" s="8"/>
      <c r="O103" s="8" t="s">
        <v>222</v>
      </c>
      <c r="P103" s="8"/>
      <c r="Q103" s="8">
        <v>1</v>
      </c>
      <c r="R103" s="65">
        <v>1</v>
      </c>
      <c r="S103" s="8">
        <v>108</v>
      </c>
      <c r="T103" s="8">
        <v>75</v>
      </c>
      <c r="U103" s="8">
        <v>33</v>
      </c>
      <c r="V103" s="8">
        <v>25</v>
      </c>
      <c r="W103" s="8">
        <v>15</v>
      </c>
      <c r="X103" s="8">
        <v>10</v>
      </c>
      <c r="Y103" s="64" t="s">
        <v>223</v>
      </c>
      <c r="Z103" s="64" t="s">
        <v>235</v>
      </c>
      <c r="AA103" s="67"/>
      <c r="AB103" s="64"/>
      <c r="AC103" s="64" t="s">
        <v>222</v>
      </c>
      <c r="AD103" s="64" t="s">
        <v>222</v>
      </c>
      <c r="AE103" s="64"/>
      <c r="AF103" s="64"/>
      <c r="AG103" s="64"/>
      <c r="AH103" s="64"/>
      <c r="AI103" s="64"/>
      <c r="AJ103" s="64"/>
    </row>
    <row r="104" spans="1:36" s="70" customFormat="1" ht="65.25">
      <c r="A104" s="8">
        <v>29</v>
      </c>
      <c r="B104" s="8" t="s">
        <v>776</v>
      </c>
      <c r="C104" s="8" t="s">
        <v>248</v>
      </c>
      <c r="D104" s="8" t="s">
        <v>545</v>
      </c>
      <c r="E104" s="119" t="s">
        <v>546</v>
      </c>
      <c r="F104" s="8" t="s">
        <v>547</v>
      </c>
      <c r="G104" s="8"/>
      <c r="H104" s="8" t="s">
        <v>548</v>
      </c>
      <c r="I104" s="8" t="s">
        <v>548</v>
      </c>
      <c r="J104" s="8" t="s">
        <v>549</v>
      </c>
      <c r="K104" s="8"/>
      <c r="L104" s="8" t="s">
        <v>550</v>
      </c>
      <c r="M104" s="8"/>
      <c r="N104" s="8"/>
      <c r="O104" s="8" t="s">
        <v>222</v>
      </c>
      <c r="P104" s="8"/>
      <c r="Q104" s="8">
        <v>1</v>
      </c>
      <c r="R104" s="65">
        <v>1</v>
      </c>
      <c r="S104" s="8">
        <v>25</v>
      </c>
      <c r="T104" s="8">
        <v>23</v>
      </c>
      <c r="U104" s="8">
        <v>2</v>
      </c>
      <c r="V104" s="8">
        <v>10</v>
      </c>
      <c r="W104" s="8">
        <v>8</v>
      </c>
      <c r="X104" s="8">
        <v>2</v>
      </c>
      <c r="Y104" s="64" t="s">
        <v>223</v>
      </c>
      <c r="Z104" s="64" t="s">
        <v>325</v>
      </c>
      <c r="AA104" s="67"/>
      <c r="AB104" s="64"/>
      <c r="AC104" s="64"/>
      <c r="AD104" s="64"/>
      <c r="AE104" s="64"/>
      <c r="AF104" s="64"/>
      <c r="AG104" s="64"/>
      <c r="AH104" s="64" t="s">
        <v>222</v>
      </c>
      <c r="AI104" s="64"/>
      <c r="AJ104" s="64"/>
    </row>
    <row r="105" spans="1:36" s="70" customFormat="1" ht="90.75">
      <c r="A105" s="8">
        <v>30</v>
      </c>
      <c r="B105" s="8" t="s">
        <v>774</v>
      </c>
      <c r="C105" s="8" t="s">
        <v>525</v>
      </c>
      <c r="D105" s="8" t="s">
        <v>436</v>
      </c>
      <c r="E105" s="119">
        <v>84864320844</v>
      </c>
      <c r="F105" s="8" t="s">
        <v>527</v>
      </c>
      <c r="G105" s="8" t="s">
        <v>528</v>
      </c>
      <c r="H105" s="8" t="s">
        <v>529</v>
      </c>
      <c r="I105" s="8" t="s">
        <v>529</v>
      </c>
      <c r="J105" s="8" t="s">
        <v>530</v>
      </c>
      <c r="K105" s="8" t="s">
        <v>220</v>
      </c>
      <c r="L105" s="8" t="s">
        <v>234</v>
      </c>
      <c r="M105" s="8"/>
      <c r="N105" s="8"/>
      <c r="O105" s="8"/>
      <c r="P105" s="8" t="s">
        <v>222</v>
      </c>
      <c r="Q105" s="8">
        <v>11</v>
      </c>
      <c r="R105" s="65">
        <v>8</v>
      </c>
      <c r="S105" s="8">
        <v>306.4</v>
      </c>
      <c r="T105" s="8">
        <v>276.4</v>
      </c>
      <c r="U105" s="8">
        <v>30</v>
      </c>
      <c r="V105" s="8">
        <v>224</v>
      </c>
      <c r="W105" s="8">
        <v>209</v>
      </c>
      <c r="X105" s="8">
        <v>15</v>
      </c>
      <c r="Y105" s="64"/>
      <c r="Z105" s="64" t="s">
        <v>235</v>
      </c>
      <c r="AA105" s="67" t="s">
        <v>222</v>
      </c>
      <c r="AB105" s="64"/>
      <c r="AC105" s="64" t="s">
        <v>222</v>
      </c>
      <c r="AD105" s="64" t="s">
        <v>222</v>
      </c>
      <c r="AE105" s="64"/>
      <c r="AF105" s="64"/>
      <c r="AG105" s="64" t="s">
        <v>222</v>
      </c>
      <c r="AH105" s="64" t="s">
        <v>222</v>
      </c>
      <c r="AI105" s="64"/>
      <c r="AJ105" s="64"/>
    </row>
    <row r="106" spans="1:36" s="205" customFormat="1" ht="52.5">
      <c r="A106" s="195">
        <v>31</v>
      </c>
      <c r="B106" s="195" t="s">
        <v>778</v>
      </c>
      <c r="C106" s="195" t="s">
        <v>321</v>
      </c>
      <c r="D106" s="195" t="s">
        <v>268</v>
      </c>
      <c r="E106" s="203">
        <v>9202817416</v>
      </c>
      <c r="F106" s="195" t="s">
        <v>539</v>
      </c>
      <c r="G106" s="195" t="s">
        <v>269</v>
      </c>
      <c r="H106" s="195" t="s">
        <v>270</v>
      </c>
      <c r="I106" s="195" t="s">
        <v>270</v>
      </c>
      <c r="J106" s="195" t="s">
        <v>246</v>
      </c>
      <c r="K106" s="195" t="s">
        <v>233</v>
      </c>
      <c r="L106" s="195" t="s">
        <v>294</v>
      </c>
      <c r="M106" s="195" t="s">
        <v>222</v>
      </c>
      <c r="N106" s="195"/>
      <c r="O106" s="195" t="s">
        <v>222</v>
      </c>
      <c r="P106" s="195"/>
      <c r="Q106" s="195">
        <v>1</v>
      </c>
      <c r="R106" s="204">
        <v>1</v>
      </c>
      <c r="S106" s="195">
        <v>100</v>
      </c>
      <c r="T106" s="195">
        <v>75</v>
      </c>
      <c r="U106" s="195">
        <v>25</v>
      </c>
      <c r="V106" s="195">
        <v>50</v>
      </c>
      <c r="W106" s="195">
        <v>35</v>
      </c>
      <c r="X106" s="195">
        <v>15</v>
      </c>
      <c r="Y106" s="199" t="s">
        <v>223</v>
      </c>
      <c r="Z106" s="199" t="s">
        <v>224</v>
      </c>
      <c r="AA106" s="200" t="s">
        <v>222</v>
      </c>
      <c r="AB106" s="199"/>
      <c r="AC106" s="199" t="s">
        <v>222</v>
      </c>
      <c r="AD106" s="199" t="s">
        <v>222</v>
      </c>
      <c r="AE106" s="199"/>
      <c r="AF106" s="199"/>
      <c r="AG106" s="199"/>
      <c r="AH106" s="199"/>
      <c r="AI106" s="199"/>
      <c r="AJ106" s="199"/>
    </row>
    <row r="107" spans="1:36" s="118" customFormat="1" ht="65.25">
      <c r="A107" s="114">
        <v>32</v>
      </c>
      <c r="B107" s="114" t="s">
        <v>774</v>
      </c>
      <c r="C107" s="114" t="s">
        <v>564</v>
      </c>
      <c r="D107" s="114" t="s">
        <v>551</v>
      </c>
      <c r="E107" s="133">
        <v>84864320145</v>
      </c>
      <c r="F107" s="8" t="s">
        <v>565</v>
      </c>
      <c r="G107" s="8" t="s">
        <v>566</v>
      </c>
      <c r="H107" s="8" t="s">
        <v>567</v>
      </c>
      <c r="I107" s="8" t="s">
        <v>844</v>
      </c>
      <c r="J107" s="114" t="s">
        <v>514</v>
      </c>
      <c r="K107" s="114" t="s">
        <v>220</v>
      </c>
      <c r="L107" s="114" t="s">
        <v>276</v>
      </c>
      <c r="M107" s="114"/>
      <c r="N107" s="114"/>
      <c r="O107" s="114"/>
      <c r="P107" s="114" t="s">
        <v>222</v>
      </c>
      <c r="Q107" s="114">
        <v>10</v>
      </c>
      <c r="R107" s="115">
        <v>8</v>
      </c>
      <c r="S107" s="114">
        <v>574.5</v>
      </c>
      <c r="T107" s="114">
        <v>539.5</v>
      </c>
      <c r="U107" s="114">
        <v>35</v>
      </c>
      <c r="V107" s="114">
        <v>356</v>
      </c>
      <c r="W107" s="114">
        <v>338</v>
      </c>
      <c r="X107" s="114">
        <v>18</v>
      </c>
      <c r="Y107" s="116" t="s">
        <v>223</v>
      </c>
      <c r="Z107" s="116" t="s">
        <v>224</v>
      </c>
      <c r="AA107" s="117" t="s">
        <v>222</v>
      </c>
      <c r="AB107" s="116"/>
      <c r="AC107" s="116" t="s">
        <v>222</v>
      </c>
      <c r="AD107" s="116" t="s">
        <v>222</v>
      </c>
      <c r="AE107" s="116"/>
      <c r="AF107" s="116"/>
      <c r="AG107" s="116" t="s">
        <v>222</v>
      </c>
      <c r="AH107" s="116"/>
      <c r="AI107" s="116"/>
      <c r="AJ107" s="116"/>
    </row>
    <row r="108" spans="1:36" s="70" customFormat="1" ht="78">
      <c r="A108" s="8">
        <v>33</v>
      </c>
      <c r="B108" s="8" t="s">
        <v>782</v>
      </c>
      <c r="C108" s="8" t="s">
        <v>552</v>
      </c>
      <c r="D108" s="8" t="s">
        <v>553</v>
      </c>
      <c r="E108" s="119" t="s">
        <v>554</v>
      </c>
      <c r="F108" s="8" t="s">
        <v>555</v>
      </c>
      <c r="G108" s="8" t="s">
        <v>903</v>
      </c>
      <c r="H108" s="8" t="s">
        <v>556</v>
      </c>
      <c r="I108" s="8" t="s">
        <v>904</v>
      </c>
      <c r="J108" s="8" t="s">
        <v>509</v>
      </c>
      <c r="K108" s="8"/>
      <c r="L108" s="8" t="s">
        <v>557</v>
      </c>
      <c r="M108" s="8"/>
      <c r="N108" s="8"/>
      <c r="O108" s="8" t="s">
        <v>222</v>
      </c>
      <c r="P108" s="8"/>
      <c r="Q108" s="8">
        <v>1</v>
      </c>
      <c r="R108" s="65">
        <v>1</v>
      </c>
      <c r="S108" s="8">
        <v>29.3</v>
      </c>
      <c r="T108" s="8">
        <v>16.3</v>
      </c>
      <c r="U108" s="8">
        <v>4.3</v>
      </c>
      <c r="V108" s="8">
        <v>16.3</v>
      </c>
      <c r="W108" s="8">
        <v>12</v>
      </c>
      <c r="X108" s="8">
        <v>4.3</v>
      </c>
      <c r="Y108" s="64" t="s">
        <v>223</v>
      </c>
      <c r="Z108" s="64" t="s">
        <v>224</v>
      </c>
      <c r="AA108" s="67"/>
      <c r="AB108" s="64"/>
      <c r="AC108" s="64"/>
      <c r="AD108" s="64"/>
      <c r="AE108" s="64"/>
      <c r="AF108" s="64"/>
      <c r="AG108" s="64"/>
      <c r="AH108" s="64"/>
      <c r="AI108" s="64"/>
      <c r="AJ108" s="64"/>
    </row>
    <row r="109" spans="1:36" s="70" customFormat="1" ht="63" customHeight="1">
      <c r="A109" s="8">
        <v>34</v>
      </c>
      <c r="B109" s="8" t="s">
        <v>787</v>
      </c>
      <c r="C109" s="8" t="s">
        <v>558</v>
      </c>
      <c r="D109" s="8" t="s">
        <v>559</v>
      </c>
      <c r="E109" s="119" t="s">
        <v>560</v>
      </c>
      <c r="F109" s="143" t="s">
        <v>561</v>
      </c>
      <c r="G109" s="8" t="s">
        <v>562</v>
      </c>
      <c r="H109" s="8" t="s">
        <v>563</v>
      </c>
      <c r="I109" s="8" t="s">
        <v>563</v>
      </c>
      <c r="J109" s="8" t="s">
        <v>549</v>
      </c>
      <c r="K109" s="8"/>
      <c r="L109" s="8" t="s">
        <v>313</v>
      </c>
      <c r="M109" s="8"/>
      <c r="N109" s="8"/>
      <c r="O109" s="8" t="s">
        <v>222</v>
      </c>
      <c r="P109" s="8"/>
      <c r="Q109" s="8">
        <v>1</v>
      </c>
      <c r="R109" s="65">
        <v>1</v>
      </c>
      <c r="S109" s="8">
        <v>20</v>
      </c>
      <c r="T109" s="8">
        <v>16</v>
      </c>
      <c r="U109" s="8">
        <v>4</v>
      </c>
      <c r="V109" s="8">
        <v>16</v>
      </c>
      <c r="W109" s="8">
        <v>13</v>
      </c>
      <c r="X109" s="8">
        <v>3</v>
      </c>
      <c r="Y109" s="64" t="s">
        <v>223</v>
      </c>
      <c r="Z109" s="64" t="s">
        <v>235</v>
      </c>
      <c r="AA109" s="67"/>
      <c r="AB109" s="64"/>
      <c r="AC109" s="64"/>
      <c r="AD109" s="64"/>
      <c r="AE109" s="64"/>
      <c r="AF109" s="64"/>
      <c r="AG109" s="64"/>
      <c r="AH109" s="64"/>
      <c r="AI109" s="64"/>
      <c r="AJ109" s="64"/>
    </row>
    <row r="110" spans="1:36" s="70" customFormat="1" ht="18.75" hidden="1">
      <c r="A110" s="8"/>
      <c r="B110" s="8"/>
      <c r="C110" s="8"/>
      <c r="D110" s="8"/>
      <c r="E110" s="11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65"/>
      <c r="S110" s="8"/>
      <c r="T110" s="8"/>
      <c r="U110" s="8"/>
      <c r="V110" s="8"/>
      <c r="W110" s="8"/>
      <c r="X110" s="8"/>
      <c r="Y110" s="64"/>
      <c r="Z110" s="64"/>
      <c r="AA110" s="67"/>
      <c r="AB110" s="64"/>
      <c r="AC110" s="64"/>
      <c r="AD110" s="64"/>
      <c r="AE110" s="64"/>
      <c r="AF110" s="64"/>
      <c r="AG110" s="64"/>
      <c r="AH110" s="64"/>
      <c r="AI110" s="64"/>
      <c r="AJ110" s="64"/>
    </row>
    <row r="111" spans="1:36" s="70" customFormat="1" ht="90.75">
      <c r="A111" s="8">
        <v>35</v>
      </c>
      <c r="B111" s="8" t="s">
        <v>774</v>
      </c>
      <c r="C111" s="8" t="s">
        <v>564</v>
      </c>
      <c r="D111" s="8" t="s">
        <v>436</v>
      </c>
      <c r="E111" s="119">
        <v>9031138039</v>
      </c>
      <c r="F111" s="8" t="s">
        <v>565</v>
      </c>
      <c r="G111" s="8" t="s">
        <v>566</v>
      </c>
      <c r="H111" s="8" t="s">
        <v>567</v>
      </c>
      <c r="I111" s="8" t="s">
        <v>568</v>
      </c>
      <c r="J111" s="8" t="s">
        <v>530</v>
      </c>
      <c r="K111" s="8" t="s">
        <v>220</v>
      </c>
      <c r="L111" s="8" t="s">
        <v>276</v>
      </c>
      <c r="M111" s="8"/>
      <c r="N111" s="8"/>
      <c r="O111" s="8"/>
      <c r="P111" s="8" t="s">
        <v>222</v>
      </c>
      <c r="Q111" s="8">
        <v>13</v>
      </c>
      <c r="R111" s="65">
        <v>10</v>
      </c>
      <c r="S111" s="8">
        <v>567</v>
      </c>
      <c r="T111" s="8">
        <v>357</v>
      </c>
      <c r="U111" s="8">
        <v>210</v>
      </c>
      <c r="V111" s="8">
        <v>417</v>
      </c>
      <c r="W111" s="8">
        <v>247</v>
      </c>
      <c r="X111" s="8">
        <v>170</v>
      </c>
      <c r="Y111" s="64"/>
      <c r="Z111" s="64" t="s">
        <v>235</v>
      </c>
      <c r="AA111" s="67" t="s">
        <v>222</v>
      </c>
      <c r="AB111" s="64"/>
      <c r="AC111" s="64" t="s">
        <v>222</v>
      </c>
      <c r="AD111" s="64" t="s">
        <v>222</v>
      </c>
      <c r="AE111" s="64">
        <v>150</v>
      </c>
      <c r="AF111" s="64"/>
      <c r="AG111" s="64" t="s">
        <v>222</v>
      </c>
      <c r="AH111" s="64"/>
      <c r="AI111" s="64"/>
      <c r="AJ111" s="64"/>
    </row>
    <row r="112" spans="1:36" s="118" customFormat="1" ht="52.5">
      <c r="A112" s="114">
        <v>36</v>
      </c>
      <c r="B112" s="114" t="s">
        <v>785</v>
      </c>
      <c r="C112" s="114" t="s">
        <v>248</v>
      </c>
      <c r="D112" s="114" t="s">
        <v>320</v>
      </c>
      <c r="E112" s="133" t="s">
        <v>569</v>
      </c>
      <c r="F112" s="114" t="s">
        <v>763</v>
      </c>
      <c r="G112" s="114" t="s">
        <v>320</v>
      </c>
      <c r="H112" s="114" t="s">
        <v>570</v>
      </c>
      <c r="I112" s="114" t="s">
        <v>570</v>
      </c>
      <c r="J112" s="114" t="s">
        <v>514</v>
      </c>
      <c r="K112" s="114" t="s">
        <v>220</v>
      </c>
      <c r="L112" s="114" t="s">
        <v>313</v>
      </c>
      <c r="M112" s="114"/>
      <c r="N112" s="114"/>
      <c r="O112" s="114" t="s">
        <v>222</v>
      </c>
      <c r="P112" s="114"/>
      <c r="Q112" s="114">
        <v>3</v>
      </c>
      <c r="R112" s="115">
        <v>3</v>
      </c>
      <c r="S112" s="114">
        <v>108</v>
      </c>
      <c r="T112" s="114">
        <v>98</v>
      </c>
      <c r="U112" s="114">
        <v>10</v>
      </c>
      <c r="V112" s="114">
        <v>58</v>
      </c>
      <c r="W112" s="114">
        <v>53</v>
      </c>
      <c r="X112" s="114">
        <v>5</v>
      </c>
      <c r="Y112" s="116" t="s">
        <v>223</v>
      </c>
      <c r="Z112" s="116" t="s">
        <v>235</v>
      </c>
      <c r="AA112" s="117"/>
      <c r="AB112" s="116"/>
      <c r="AC112" s="116" t="s">
        <v>222</v>
      </c>
      <c r="AD112" s="116" t="s">
        <v>222</v>
      </c>
      <c r="AE112" s="116"/>
      <c r="AF112" s="116"/>
      <c r="AG112" s="116"/>
      <c r="AH112" s="116"/>
      <c r="AI112" s="116"/>
      <c r="AJ112" s="116"/>
    </row>
    <row r="113" spans="1:36" s="70" customFormat="1" ht="18.75" hidden="1">
      <c r="A113" s="8"/>
      <c r="B113" s="8"/>
      <c r="C113" s="8"/>
      <c r="D113" s="8"/>
      <c r="E113" s="11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65"/>
      <c r="S113" s="8"/>
      <c r="T113" s="8"/>
      <c r="U113" s="8"/>
      <c r="V113" s="8"/>
      <c r="W113" s="8"/>
      <c r="X113" s="8"/>
      <c r="Y113" s="64"/>
      <c r="Z113" s="64"/>
      <c r="AA113" s="67"/>
      <c r="AB113" s="64"/>
      <c r="AC113" s="64"/>
      <c r="AD113" s="64"/>
      <c r="AE113" s="64"/>
      <c r="AF113" s="64"/>
      <c r="AG113" s="64"/>
      <c r="AH113" s="64"/>
      <c r="AI113" s="64"/>
      <c r="AJ113" s="64"/>
    </row>
    <row r="114" spans="1:36" s="70" customFormat="1" ht="78">
      <c r="A114" s="8">
        <v>37</v>
      </c>
      <c r="B114" s="8" t="s">
        <v>785</v>
      </c>
      <c r="C114" s="8" t="s">
        <v>537</v>
      </c>
      <c r="D114" s="8" t="s">
        <v>671</v>
      </c>
      <c r="E114" s="119">
        <v>89616216011</v>
      </c>
      <c r="F114" s="8" t="s">
        <v>675</v>
      </c>
      <c r="G114" s="8" t="s">
        <v>672</v>
      </c>
      <c r="H114" s="8" t="s">
        <v>674</v>
      </c>
      <c r="I114" s="8" t="s">
        <v>674</v>
      </c>
      <c r="J114" s="8" t="s">
        <v>514</v>
      </c>
      <c r="K114" s="8"/>
      <c r="L114" s="8" t="s">
        <v>673</v>
      </c>
      <c r="M114" s="8"/>
      <c r="N114" s="8"/>
      <c r="O114" s="8" t="s">
        <v>222</v>
      </c>
      <c r="P114" s="8"/>
      <c r="Q114" s="8">
        <v>2</v>
      </c>
      <c r="R114" s="65">
        <v>1</v>
      </c>
      <c r="S114" s="8">
        <v>35</v>
      </c>
      <c r="T114" s="8">
        <v>33.5</v>
      </c>
      <c r="U114" s="8">
        <v>1.5</v>
      </c>
      <c r="V114" s="8">
        <v>21</v>
      </c>
      <c r="W114" s="8">
        <v>20</v>
      </c>
      <c r="X114" s="8">
        <v>1</v>
      </c>
      <c r="Y114" s="64" t="s">
        <v>223</v>
      </c>
      <c r="Z114" s="64" t="s">
        <v>325</v>
      </c>
      <c r="AA114" s="67"/>
      <c r="AB114" s="64"/>
      <c r="AC114" s="64"/>
      <c r="AD114" s="64"/>
      <c r="AE114" s="64"/>
      <c r="AF114" s="64"/>
      <c r="AG114" s="64"/>
      <c r="AH114" s="64" t="s">
        <v>222</v>
      </c>
      <c r="AI114" s="64"/>
      <c r="AJ114" s="64"/>
    </row>
    <row r="115" spans="1:36" s="70" customFormat="1" ht="52.5">
      <c r="A115" s="8">
        <v>38</v>
      </c>
      <c r="B115" s="8" t="s">
        <v>778</v>
      </c>
      <c r="C115" s="8" t="s">
        <v>831</v>
      </c>
      <c r="D115" s="8" t="s">
        <v>832</v>
      </c>
      <c r="E115" s="119">
        <v>89200844757</v>
      </c>
      <c r="F115" s="8" t="s">
        <v>833</v>
      </c>
      <c r="G115" s="8" t="s">
        <v>832</v>
      </c>
      <c r="H115" s="8" t="s">
        <v>834</v>
      </c>
      <c r="I115" s="8" t="s">
        <v>834</v>
      </c>
      <c r="J115" s="8" t="s">
        <v>514</v>
      </c>
      <c r="K115" s="8"/>
      <c r="L115" s="8" t="s">
        <v>313</v>
      </c>
      <c r="M115" s="8"/>
      <c r="N115" s="8"/>
      <c r="O115" s="8" t="s">
        <v>222</v>
      </c>
      <c r="P115" s="8"/>
      <c r="Q115" s="8">
        <v>2</v>
      </c>
      <c r="R115" s="65">
        <v>2</v>
      </c>
      <c r="S115" s="8">
        <v>52</v>
      </c>
      <c r="T115" s="8">
        <v>48</v>
      </c>
      <c r="U115" s="8">
        <v>4</v>
      </c>
      <c r="V115" s="8">
        <v>22</v>
      </c>
      <c r="W115" s="8">
        <v>18</v>
      </c>
      <c r="X115" s="8">
        <v>4</v>
      </c>
      <c r="Y115" s="64" t="s">
        <v>223</v>
      </c>
      <c r="Z115" s="64" t="s">
        <v>325</v>
      </c>
      <c r="AA115" s="67"/>
      <c r="AB115" s="64"/>
      <c r="AC115" s="64"/>
      <c r="AD115" s="64"/>
      <c r="AE115" s="64"/>
      <c r="AF115" s="64"/>
      <c r="AG115" s="64" t="s">
        <v>222</v>
      </c>
      <c r="AH115" s="64" t="s">
        <v>222</v>
      </c>
      <c r="AI115" s="64"/>
      <c r="AJ115" s="64"/>
    </row>
    <row r="116" spans="1:36" s="6" customFormat="1" ht="52.5">
      <c r="A116" s="7">
        <v>39</v>
      </c>
      <c r="B116" s="7" t="s">
        <v>775</v>
      </c>
      <c r="C116" s="8" t="s">
        <v>248</v>
      </c>
      <c r="D116" s="8" t="s">
        <v>282</v>
      </c>
      <c r="E116" s="119">
        <v>9208127548</v>
      </c>
      <c r="F116" s="8" t="s">
        <v>762</v>
      </c>
      <c r="G116" s="8" t="s">
        <v>283</v>
      </c>
      <c r="H116" s="8" t="s">
        <v>284</v>
      </c>
      <c r="I116" s="8" t="s">
        <v>284</v>
      </c>
      <c r="J116" s="8" t="s">
        <v>219</v>
      </c>
      <c r="K116" s="8" t="s">
        <v>220</v>
      </c>
      <c r="L116" s="8" t="s">
        <v>285</v>
      </c>
      <c r="M116" s="8"/>
      <c r="N116" s="8"/>
      <c r="O116" s="8" t="s">
        <v>222</v>
      </c>
      <c r="P116" s="8"/>
      <c r="Q116" s="8">
        <v>4</v>
      </c>
      <c r="R116" s="65">
        <v>3</v>
      </c>
      <c r="S116" s="8">
        <v>90</v>
      </c>
      <c r="T116" s="8">
        <v>90</v>
      </c>
      <c r="U116" s="8"/>
      <c r="V116" s="8">
        <v>30</v>
      </c>
      <c r="W116" s="8">
        <v>25</v>
      </c>
      <c r="X116" s="8">
        <v>5</v>
      </c>
      <c r="Y116" s="64" t="s">
        <v>223</v>
      </c>
      <c r="Z116" s="64" t="s">
        <v>235</v>
      </c>
      <c r="AA116" s="64" t="s">
        <v>225</v>
      </c>
      <c r="AB116" s="64"/>
      <c r="AC116" s="64" t="s">
        <v>222</v>
      </c>
      <c r="AD116" s="64" t="s">
        <v>222</v>
      </c>
      <c r="AE116" s="112"/>
      <c r="AF116" s="112"/>
      <c r="AG116" s="112"/>
      <c r="AH116" s="112"/>
      <c r="AI116" s="112"/>
      <c r="AJ116" s="112"/>
    </row>
    <row r="117" spans="1:36" s="6" customFormat="1" ht="52.5">
      <c r="A117" s="7">
        <v>40</v>
      </c>
      <c r="B117" s="7" t="s">
        <v>775</v>
      </c>
      <c r="C117" s="8" t="s">
        <v>248</v>
      </c>
      <c r="D117" s="8" t="s">
        <v>893</v>
      </c>
      <c r="E117" s="119">
        <v>9092254822</v>
      </c>
      <c r="F117" s="8" t="s">
        <v>762</v>
      </c>
      <c r="G117" s="8" t="s">
        <v>283</v>
      </c>
      <c r="H117" s="8" t="s">
        <v>284</v>
      </c>
      <c r="I117" s="8" t="s">
        <v>284</v>
      </c>
      <c r="J117" s="8" t="s">
        <v>219</v>
      </c>
      <c r="K117" s="8" t="s">
        <v>220</v>
      </c>
      <c r="L117" s="8" t="s">
        <v>285</v>
      </c>
      <c r="M117" s="8"/>
      <c r="N117" s="8"/>
      <c r="O117" s="8" t="s">
        <v>222</v>
      </c>
      <c r="P117" s="8"/>
      <c r="Q117" s="8">
        <v>3</v>
      </c>
      <c r="R117" s="65">
        <v>2</v>
      </c>
      <c r="S117" s="8">
        <v>72.1</v>
      </c>
      <c r="T117" s="8">
        <v>72.1</v>
      </c>
      <c r="U117" s="8"/>
      <c r="V117" s="8">
        <v>40.8</v>
      </c>
      <c r="W117" s="8">
        <v>35.8</v>
      </c>
      <c r="X117" s="8">
        <v>5</v>
      </c>
      <c r="Y117" s="64" t="s">
        <v>223</v>
      </c>
      <c r="Z117" s="64" t="s">
        <v>235</v>
      </c>
      <c r="AA117" s="64" t="s">
        <v>225</v>
      </c>
      <c r="AB117" s="64"/>
      <c r="AC117" s="64" t="s">
        <v>222</v>
      </c>
      <c r="AD117" s="64" t="s">
        <v>222</v>
      </c>
      <c r="AE117" s="112"/>
      <c r="AF117" s="112"/>
      <c r="AG117" s="112"/>
      <c r="AH117" s="112"/>
      <c r="AI117" s="112"/>
      <c r="AJ117" s="112"/>
    </row>
    <row r="118" spans="1:36" s="70" customFormat="1" ht="65.25">
      <c r="A118" s="8">
        <v>41</v>
      </c>
      <c r="B118" s="8" t="s">
        <v>774</v>
      </c>
      <c r="C118" s="114" t="s">
        <v>592</v>
      </c>
      <c r="D118" s="114" t="s">
        <v>847</v>
      </c>
      <c r="E118" s="133">
        <v>89208096088</v>
      </c>
      <c r="F118" s="114" t="s">
        <v>593</v>
      </c>
      <c r="G118" s="114" t="s">
        <v>594</v>
      </c>
      <c r="H118" s="114" t="s">
        <v>595</v>
      </c>
      <c r="I118" s="114" t="s">
        <v>596</v>
      </c>
      <c r="J118" s="114" t="s">
        <v>510</v>
      </c>
      <c r="K118" s="114" t="s">
        <v>220</v>
      </c>
      <c r="L118" s="114" t="s">
        <v>597</v>
      </c>
      <c r="M118" s="114"/>
      <c r="N118" s="114"/>
      <c r="O118" s="114"/>
      <c r="P118" s="114" t="s">
        <v>222</v>
      </c>
      <c r="Q118" s="114">
        <v>5</v>
      </c>
      <c r="R118" s="115">
        <v>4</v>
      </c>
      <c r="S118" s="114">
        <v>117</v>
      </c>
      <c r="T118" s="114">
        <v>117</v>
      </c>
      <c r="U118" s="114"/>
      <c r="V118" s="114">
        <v>76.8</v>
      </c>
      <c r="W118" s="114">
        <v>68.8</v>
      </c>
      <c r="X118" s="114">
        <v>8</v>
      </c>
      <c r="Y118" s="116" t="s">
        <v>223</v>
      </c>
      <c r="Z118" s="116" t="s">
        <v>224</v>
      </c>
      <c r="AA118" s="117" t="s">
        <v>222</v>
      </c>
      <c r="AB118" s="116" t="s">
        <v>809</v>
      </c>
      <c r="AC118" s="116" t="s">
        <v>222</v>
      </c>
      <c r="AD118" s="116" t="s">
        <v>222</v>
      </c>
      <c r="AE118" s="116"/>
      <c r="AF118" s="116"/>
      <c r="AG118" s="116"/>
      <c r="AH118" s="116"/>
      <c r="AI118" s="116"/>
      <c r="AJ118" s="116"/>
    </row>
    <row r="119" spans="1:36" s="70" customFormat="1" ht="90.75">
      <c r="A119" s="8">
        <v>42</v>
      </c>
      <c r="B119" s="8" t="s">
        <v>782</v>
      </c>
      <c r="C119" s="8" t="s">
        <v>858</v>
      </c>
      <c r="D119" s="8" t="s">
        <v>859</v>
      </c>
      <c r="E119" s="119" t="s">
        <v>215</v>
      </c>
      <c r="F119" s="8" t="s">
        <v>216</v>
      </c>
      <c r="G119" s="8" t="s">
        <v>217</v>
      </c>
      <c r="H119" s="8" t="s">
        <v>792</v>
      </c>
      <c r="I119" s="8" t="s">
        <v>860</v>
      </c>
      <c r="J119" s="8" t="s">
        <v>530</v>
      </c>
      <c r="K119" s="8" t="s">
        <v>220</v>
      </c>
      <c r="L119" s="8" t="s">
        <v>861</v>
      </c>
      <c r="M119" s="8"/>
      <c r="N119" s="8"/>
      <c r="O119" s="8" t="s">
        <v>222</v>
      </c>
      <c r="P119" s="8"/>
      <c r="Q119" s="8">
        <v>1</v>
      </c>
      <c r="R119" s="65">
        <v>1</v>
      </c>
      <c r="S119" s="8">
        <v>140.7</v>
      </c>
      <c r="T119" s="8">
        <v>82</v>
      </c>
      <c r="U119" s="8">
        <v>58.7</v>
      </c>
      <c r="V119" s="8">
        <v>53</v>
      </c>
      <c r="W119" s="8">
        <v>48</v>
      </c>
      <c r="X119" s="8">
        <v>5</v>
      </c>
      <c r="Y119" s="64" t="s">
        <v>223</v>
      </c>
      <c r="Z119" s="64" t="s">
        <v>235</v>
      </c>
      <c r="AA119" s="67" t="s">
        <v>222</v>
      </c>
      <c r="AB119" s="64" t="s">
        <v>222</v>
      </c>
      <c r="AC119" s="64"/>
      <c r="AD119" s="64"/>
      <c r="AE119" s="64"/>
      <c r="AF119" s="64"/>
      <c r="AG119" s="64"/>
      <c r="AH119" s="64" t="s">
        <v>222</v>
      </c>
      <c r="AI119" s="64"/>
      <c r="AJ119" s="64"/>
    </row>
    <row r="120" spans="1:36" s="70" customFormat="1" ht="65.25">
      <c r="A120" s="8">
        <v>43</v>
      </c>
      <c r="B120" s="8" t="s">
        <v>774</v>
      </c>
      <c r="C120" s="8" t="s">
        <v>862</v>
      </c>
      <c r="D120" s="8" t="s">
        <v>461</v>
      </c>
      <c r="E120" s="119" t="s">
        <v>215</v>
      </c>
      <c r="F120" s="8" t="s">
        <v>216</v>
      </c>
      <c r="G120" s="8" t="s">
        <v>217</v>
      </c>
      <c r="H120" s="8" t="s">
        <v>792</v>
      </c>
      <c r="I120" s="8" t="s">
        <v>863</v>
      </c>
      <c r="J120" s="8" t="s">
        <v>864</v>
      </c>
      <c r="K120" s="8"/>
      <c r="L120" s="8" t="s">
        <v>865</v>
      </c>
      <c r="M120" s="8"/>
      <c r="N120" s="8"/>
      <c r="O120" s="8"/>
      <c r="P120" s="8" t="s">
        <v>222</v>
      </c>
      <c r="Q120" s="8">
        <v>2</v>
      </c>
      <c r="R120" s="65">
        <v>2</v>
      </c>
      <c r="S120" s="8">
        <v>62</v>
      </c>
      <c r="T120" s="8">
        <v>60</v>
      </c>
      <c r="U120" s="8">
        <v>2</v>
      </c>
      <c r="V120" s="8">
        <v>55</v>
      </c>
      <c r="W120" s="8">
        <v>53</v>
      </c>
      <c r="X120" s="8">
        <v>2</v>
      </c>
      <c r="Y120" s="64" t="s">
        <v>223</v>
      </c>
      <c r="Z120" s="64" t="s">
        <v>224</v>
      </c>
      <c r="AA120" s="67" t="s">
        <v>222</v>
      </c>
      <c r="AB120" s="64"/>
      <c r="AC120" s="64"/>
      <c r="AD120" s="64"/>
      <c r="AE120" s="64"/>
      <c r="AF120" s="64"/>
      <c r="AG120" s="64"/>
      <c r="AH120" s="64"/>
      <c r="AI120" s="64"/>
      <c r="AJ120" s="64"/>
    </row>
    <row r="121" spans="1:36" s="70" customFormat="1" ht="52.5">
      <c r="A121" s="8">
        <v>44</v>
      </c>
      <c r="B121" s="8" t="s">
        <v>778</v>
      </c>
      <c r="C121" s="8" t="s">
        <v>292</v>
      </c>
      <c r="D121" s="8" t="s">
        <v>293</v>
      </c>
      <c r="E121" s="119">
        <v>9202817416</v>
      </c>
      <c r="F121" s="8" t="s">
        <v>539</v>
      </c>
      <c r="G121" s="8" t="s">
        <v>269</v>
      </c>
      <c r="H121" s="8" t="s">
        <v>270</v>
      </c>
      <c r="I121" s="8" t="s">
        <v>270</v>
      </c>
      <c r="J121" s="8" t="s">
        <v>246</v>
      </c>
      <c r="K121" s="8" t="s">
        <v>233</v>
      </c>
      <c r="L121" s="8" t="s">
        <v>294</v>
      </c>
      <c r="M121" s="8"/>
      <c r="N121" s="8"/>
      <c r="O121" s="8" t="s">
        <v>222</v>
      </c>
      <c r="P121" s="8"/>
      <c r="Q121" s="8">
        <v>2</v>
      </c>
      <c r="R121" s="65">
        <v>2</v>
      </c>
      <c r="S121" s="8">
        <v>45</v>
      </c>
      <c r="T121" s="8">
        <v>45</v>
      </c>
      <c r="U121" s="8"/>
      <c r="V121" s="8">
        <v>25</v>
      </c>
      <c r="W121" s="8">
        <v>25</v>
      </c>
      <c r="X121" s="8"/>
      <c r="Y121" s="64" t="s">
        <v>223</v>
      </c>
      <c r="Z121" s="64" t="s">
        <v>235</v>
      </c>
      <c r="AA121" s="64" t="s">
        <v>225</v>
      </c>
      <c r="AB121" s="64"/>
      <c r="AC121" s="64" t="s">
        <v>222</v>
      </c>
      <c r="AD121" s="64" t="s">
        <v>222</v>
      </c>
      <c r="AE121" s="112"/>
      <c r="AF121" s="112"/>
      <c r="AG121" s="112"/>
      <c r="AH121" s="112"/>
      <c r="AI121" s="112"/>
      <c r="AJ121" s="112"/>
    </row>
    <row r="122" spans="1:36" s="70" customFormat="1" ht="18.75">
      <c r="A122" s="8"/>
      <c r="B122" s="8"/>
      <c r="C122" s="8"/>
      <c r="D122" s="8"/>
      <c r="E122" s="11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65"/>
      <c r="S122" s="8"/>
      <c r="T122" s="8"/>
      <c r="U122" s="8"/>
      <c r="V122" s="8"/>
      <c r="W122" s="8"/>
      <c r="X122" s="8"/>
      <c r="Y122" s="64"/>
      <c r="Z122" s="64"/>
      <c r="AA122" s="67"/>
      <c r="AB122" s="64"/>
      <c r="AC122" s="64"/>
      <c r="AD122" s="64"/>
      <c r="AE122" s="64"/>
      <c r="AF122" s="64"/>
      <c r="AG122" s="64"/>
      <c r="AH122" s="64"/>
      <c r="AI122" s="64"/>
      <c r="AJ122" s="64"/>
    </row>
    <row r="123" spans="1:36" s="70" customFormat="1" ht="18.75">
      <c r="A123" s="8"/>
      <c r="B123" s="8"/>
      <c r="C123" s="8"/>
      <c r="D123" s="8"/>
      <c r="E123" s="11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65"/>
      <c r="S123" s="8"/>
      <c r="T123" s="8"/>
      <c r="U123" s="8"/>
      <c r="V123" s="8"/>
      <c r="W123" s="8"/>
      <c r="X123" s="8"/>
      <c r="Y123" s="64"/>
      <c r="Z123" s="64"/>
      <c r="AA123" s="67"/>
      <c r="AB123" s="64"/>
      <c r="AC123" s="64"/>
      <c r="AD123" s="64"/>
      <c r="AE123" s="64"/>
      <c r="AF123" s="64"/>
      <c r="AG123" s="64"/>
      <c r="AH123" s="64"/>
      <c r="AI123" s="64"/>
      <c r="AJ123" s="64"/>
    </row>
    <row r="124" spans="1:36" s="57" customFormat="1" ht="71.25" customHeight="1" thickBot="1">
      <c r="A124" s="28"/>
      <c r="B124" s="28"/>
      <c r="C124" s="28" t="s">
        <v>68</v>
      </c>
      <c r="D124" s="28" t="s">
        <v>27</v>
      </c>
      <c r="E124" s="139"/>
      <c r="F124" s="28"/>
      <c r="G124" s="72">
        <f>COUNTIF(C73:C123,"*")</f>
        <v>44</v>
      </c>
      <c r="H124" s="72"/>
      <c r="I124" s="72"/>
      <c r="J124" s="74"/>
      <c r="K124" s="72"/>
      <c r="L124" s="28"/>
      <c r="M124" s="28">
        <f>COUNTIF(M73:M123,"*")</f>
        <v>1</v>
      </c>
      <c r="N124" s="28">
        <f>COUNTIF(N73:N123,"*")</f>
        <v>0</v>
      </c>
      <c r="O124" s="28">
        <f>COUNTIF(O73:O123,"*")</f>
        <v>27</v>
      </c>
      <c r="P124" s="28">
        <f>COUNTIF(P73:P123,"*")</f>
        <v>17</v>
      </c>
      <c r="Q124" s="28">
        <f aca="true" t="shared" si="4" ref="Q124:X124">IF(SUM(Q73:Q123)&gt;0,SUM(Q73:Q123)," ")</f>
        <v>157</v>
      </c>
      <c r="R124" s="28">
        <f t="shared" si="4"/>
        <v>129</v>
      </c>
      <c r="S124" s="28">
        <f t="shared" si="4"/>
        <v>5938.700000000001</v>
      </c>
      <c r="T124" s="28">
        <f t="shared" si="4"/>
        <v>4665.9000000000015</v>
      </c>
      <c r="U124" s="28">
        <f t="shared" si="4"/>
        <v>1039.7</v>
      </c>
      <c r="V124" s="28">
        <f t="shared" si="4"/>
        <v>3254.9000000000005</v>
      </c>
      <c r="W124" s="28">
        <f t="shared" si="4"/>
        <v>2690.5000000000005</v>
      </c>
      <c r="X124" s="28">
        <f t="shared" si="4"/>
        <v>564.4</v>
      </c>
      <c r="Y124" s="73"/>
      <c r="Z124" s="73"/>
      <c r="AA124" s="29">
        <f aca="true" t="shared" si="5" ref="AA124:AF124">COUNTIF(AA73:AA123,"*")</f>
        <v>34</v>
      </c>
      <c r="AB124" s="28">
        <f t="shared" si="5"/>
        <v>3</v>
      </c>
      <c r="AC124" s="29">
        <f t="shared" si="5"/>
        <v>32</v>
      </c>
      <c r="AD124" s="28">
        <f t="shared" si="5"/>
        <v>32</v>
      </c>
      <c r="AE124" s="28">
        <f t="shared" si="5"/>
        <v>0</v>
      </c>
      <c r="AF124" s="28">
        <f t="shared" si="5"/>
        <v>0</v>
      </c>
      <c r="AG124" s="73"/>
      <c r="AH124" s="73"/>
      <c r="AI124" s="73"/>
      <c r="AJ124" s="73"/>
    </row>
    <row r="125" spans="1:25" s="26" customFormat="1" ht="27.75" thickBot="1">
      <c r="A125" s="32" t="s">
        <v>18</v>
      </c>
      <c r="B125" s="32"/>
      <c r="C125" s="33" t="s">
        <v>19</v>
      </c>
      <c r="D125" s="34"/>
      <c r="E125" s="138" t="s">
        <v>19</v>
      </c>
      <c r="F125" s="34"/>
      <c r="G125" s="34" t="s">
        <v>19</v>
      </c>
      <c r="H125" s="34"/>
      <c r="I125" s="34"/>
      <c r="J125" s="35" t="s">
        <v>81</v>
      </c>
      <c r="K125" s="36"/>
      <c r="L125" s="34"/>
      <c r="M125" s="34" t="s">
        <v>19</v>
      </c>
      <c r="N125" s="37"/>
      <c r="O125" s="38"/>
      <c r="P125" s="38"/>
      <c r="Q125" s="38"/>
      <c r="R125" s="38"/>
      <c r="S125" s="38" t="s">
        <v>19</v>
      </c>
      <c r="T125" s="38"/>
      <c r="U125" s="38"/>
      <c r="V125" s="38"/>
      <c r="W125" s="38"/>
      <c r="X125" s="38" t="s">
        <v>19</v>
      </c>
      <c r="Y125" s="30"/>
    </row>
    <row r="126" spans="1:36" s="70" customFormat="1" ht="65.25">
      <c r="A126" s="8">
        <v>1</v>
      </c>
      <c r="B126" s="8" t="s">
        <v>774</v>
      </c>
      <c r="C126" s="50" t="s">
        <v>571</v>
      </c>
      <c r="D126" s="50" t="s">
        <v>551</v>
      </c>
      <c r="E126" s="140" t="s">
        <v>572</v>
      </c>
      <c r="F126" s="50" t="s">
        <v>572</v>
      </c>
      <c r="G126" s="50" t="s">
        <v>573</v>
      </c>
      <c r="H126" s="50" t="s">
        <v>574</v>
      </c>
      <c r="I126" s="50" t="s">
        <v>575</v>
      </c>
      <c r="J126" s="50"/>
      <c r="K126" s="50"/>
      <c r="L126" s="50" t="s">
        <v>276</v>
      </c>
      <c r="M126" s="50"/>
      <c r="N126" s="50"/>
      <c r="O126" s="8"/>
      <c r="P126" s="8" t="s">
        <v>222</v>
      </c>
      <c r="Q126" s="8">
        <v>24</v>
      </c>
      <c r="R126" s="8">
        <v>16</v>
      </c>
      <c r="S126" s="8">
        <v>250.8</v>
      </c>
      <c r="T126" s="8"/>
      <c r="U126" s="8">
        <v>250.8</v>
      </c>
      <c r="V126" s="8">
        <v>210.8</v>
      </c>
      <c r="W126" s="8"/>
      <c r="X126" s="8">
        <v>210.8</v>
      </c>
      <c r="Y126" s="64"/>
      <c r="Z126" s="64" t="s">
        <v>235</v>
      </c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</row>
    <row r="127" spans="1:36" s="70" customFormat="1" ht="65.25">
      <c r="A127" s="8">
        <v>2</v>
      </c>
      <c r="B127" s="8" t="s">
        <v>774</v>
      </c>
      <c r="C127" s="50" t="s">
        <v>576</v>
      </c>
      <c r="D127" s="50" t="s">
        <v>577</v>
      </c>
      <c r="E127" s="140" t="s">
        <v>803</v>
      </c>
      <c r="F127" s="50" t="s">
        <v>579</v>
      </c>
      <c r="G127" s="50" t="s">
        <v>578</v>
      </c>
      <c r="H127" s="50" t="s">
        <v>577</v>
      </c>
      <c r="I127" s="50" t="s">
        <v>575</v>
      </c>
      <c r="J127" s="50"/>
      <c r="K127" s="50"/>
      <c r="L127" s="50" t="s">
        <v>580</v>
      </c>
      <c r="M127" s="50"/>
      <c r="N127" s="50"/>
      <c r="O127" s="50"/>
      <c r="P127" s="50"/>
      <c r="Q127" s="50">
        <v>15</v>
      </c>
      <c r="R127" s="71">
        <v>12</v>
      </c>
      <c r="S127" s="8">
        <v>565.6</v>
      </c>
      <c r="T127" s="8"/>
      <c r="U127" s="8">
        <v>565.6</v>
      </c>
      <c r="V127" s="8">
        <v>483.2</v>
      </c>
      <c r="W127" s="8"/>
      <c r="X127" s="8">
        <v>483.2</v>
      </c>
      <c r="Y127" s="64"/>
      <c r="Z127" s="64" t="s">
        <v>235</v>
      </c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</row>
    <row r="128" spans="1:36" s="70" customFormat="1" ht="90.75">
      <c r="A128" s="8">
        <v>3</v>
      </c>
      <c r="B128" s="8" t="s">
        <v>774</v>
      </c>
      <c r="C128" s="50" t="s">
        <v>571</v>
      </c>
      <c r="D128" s="50" t="s">
        <v>581</v>
      </c>
      <c r="E128" s="140" t="s">
        <v>582</v>
      </c>
      <c r="F128" s="50" t="s">
        <v>585</v>
      </c>
      <c r="G128" s="50" t="s">
        <v>583</v>
      </c>
      <c r="H128" s="50" t="s">
        <v>584</v>
      </c>
      <c r="I128" s="50" t="s">
        <v>575</v>
      </c>
      <c r="J128" s="50"/>
      <c r="K128" s="50"/>
      <c r="L128" s="50" t="s">
        <v>285</v>
      </c>
      <c r="M128" s="50"/>
      <c r="N128" s="50"/>
      <c r="O128" s="50"/>
      <c r="P128" s="50"/>
      <c r="Q128" s="50">
        <v>10</v>
      </c>
      <c r="R128" s="71">
        <v>9</v>
      </c>
      <c r="S128" s="8">
        <v>525.8</v>
      </c>
      <c r="T128" s="8"/>
      <c r="U128" s="8">
        <v>525.8</v>
      </c>
      <c r="V128" s="8">
        <v>422</v>
      </c>
      <c r="W128" s="8"/>
      <c r="X128" s="8">
        <v>422</v>
      </c>
      <c r="Y128" s="64"/>
      <c r="Z128" s="64" t="s">
        <v>235</v>
      </c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</row>
    <row r="129" spans="1:36" s="70" customFormat="1" ht="39.75">
      <c r="A129" s="8">
        <v>4</v>
      </c>
      <c r="B129" s="8" t="s">
        <v>774</v>
      </c>
      <c r="C129" s="50" t="s">
        <v>586</v>
      </c>
      <c r="D129" s="50" t="s">
        <v>587</v>
      </c>
      <c r="E129" s="140" t="s">
        <v>588</v>
      </c>
      <c r="F129" s="50" t="s">
        <v>590</v>
      </c>
      <c r="G129" s="50" t="s">
        <v>589</v>
      </c>
      <c r="H129" s="50" t="s">
        <v>587</v>
      </c>
      <c r="I129" s="50" t="s">
        <v>575</v>
      </c>
      <c r="J129" s="50"/>
      <c r="K129" s="50"/>
      <c r="L129" s="50" t="s">
        <v>591</v>
      </c>
      <c r="M129" s="50"/>
      <c r="N129" s="50"/>
      <c r="O129" s="50"/>
      <c r="P129" s="50"/>
      <c r="Q129" s="50">
        <v>15</v>
      </c>
      <c r="R129" s="71">
        <v>12</v>
      </c>
      <c r="S129" s="8">
        <v>2161</v>
      </c>
      <c r="T129" s="8"/>
      <c r="U129" s="8">
        <v>2161</v>
      </c>
      <c r="V129" s="8">
        <v>1260</v>
      </c>
      <c r="W129" s="8"/>
      <c r="X129" s="8">
        <v>1260</v>
      </c>
      <c r="Y129" s="64"/>
      <c r="Z129" s="64" t="s">
        <v>235</v>
      </c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</row>
    <row r="130" spans="1:36" s="70" customFormat="1" ht="39.75">
      <c r="A130" s="8">
        <v>5</v>
      </c>
      <c r="B130" s="8" t="s">
        <v>774</v>
      </c>
      <c r="C130" s="50" t="s">
        <v>722</v>
      </c>
      <c r="D130" s="50" t="s">
        <v>698</v>
      </c>
      <c r="E130" s="140" t="s">
        <v>588</v>
      </c>
      <c r="F130" s="50" t="s">
        <v>590</v>
      </c>
      <c r="G130" s="50" t="s">
        <v>589</v>
      </c>
      <c r="H130" s="50" t="s">
        <v>698</v>
      </c>
      <c r="I130" s="50" t="s">
        <v>575</v>
      </c>
      <c r="J130" s="50"/>
      <c r="K130" s="50"/>
      <c r="L130" s="50" t="s">
        <v>285</v>
      </c>
      <c r="M130" s="50"/>
      <c r="N130" s="50"/>
      <c r="O130" s="50"/>
      <c r="P130" s="50"/>
      <c r="Q130" s="50">
        <v>5</v>
      </c>
      <c r="R130" s="71">
        <v>4</v>
      </c>
      <c r="S130" s="8">
        <v>432.36</v>
      </c>
      <c r="T130" s="8"/>
      <c r="U130" s="8">
        <v>432.36</v>
      </c>
      <c r="V130" s="8">
        <v>320</v>
      </c>
      <c r="W130" s="8"/>
      <c r="X130" s="8">
        <v>320</v>
      </c>
      <c r="Y130" s="64"/>
      <c r="Z130" s="64" t="s">
        <v>235</v>
      </c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</row>
    <row r="131" spans="1:36" s="6" customFormat="1" ht="52.5">
      <c r="A131" s="7">
        <v>6</v>
      </c>
      <c r="B131" s="7" t="s">
        <v>774</v>
      </c>
      <c r="C131" s="8" t="s">
        <v>768</v>
      </c>
      <c r="D131" s="8" t="s">
        <v>894</v>
      </c>
      <c r="E131" s="119" t="s">
        <v>216</v>
      </c>
      <c r="F131" s="8" t="s">
        <v>216</v>
      </c>
      <c r="G131" s="8" t="s">
        <v>769</v>
      </c>
      <c r="H131" s="66" t="s">
        <v>793</v>
      </c>
      <c r="I131" s="8" t="s">
        <v>575</v>
      </c>
      <c r="J131" s="8"/>
      <c r="K131" s="8"/>
      <c r="L131" s="8" t="s">
        <v>770</v>
      </c>
      <c r="M131" s="8"/>
      <c r="N131" s="8"/>
      <c r="O131" s="8"/>
      <c r="P131" s="8" t="s">
        <v>222</v>
      </c>
      <c r="Q131" s="8">
        <v>2</v>
      </c>
      <c r="R131" s="8">
        <v>2</v>
      </c>
      <c r="S131" s="8">
        <v>485</v>
      </c>
      <c r="T131" s="8"/>
      <c r="U131" s="8">
        <v>485</v>
      </c>
      <c r="V131" s="8">
        <v>182</v>
      </c>
      <c r="W131" s="8"/>
      <c r="X131" s="8">
        <v>182</v>
      </c>
      <c r="Y131" s="64" t="s">
        <v>223</v>
      </c>
      <c r="Z131" s="64" t="s">
        <v>235</v>
      </c>
      <c r="AA131" s="64" t="s">
        <v>222</v>
      </c>
      <c r="AB131" s="64"/>
      <c r="AC131" s="64"/>
      <c r="AD131" s="64"/>
      <c r="AE131" s="112"/>
      <c r="AF131" s="112"/>
      <c r="AG131" s="112"/>
      <c r="AH131" s="112"/>
      <c r="AI131" s="112"/>
      <c r="AJ131" s="112"/>
    </row>
    <row r="132" spans="1:36" s="70" customFormat="1" ht="18.75">
      <c r="A132" s="50"/>
      <c r="B132" s="50"/>
      <c r="C132" s="50"/>
      <c r="D132" s="50"/>
      <c r="E132" s="14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71"/>
      <c r="S132" s="50"/>
      <c r="T132" s="50"/>
      <c r="U132" s="50"/>
      <c r="V132" s="50"/>
      <c r="W132" s="50"/>
      <c r="X132" s="50"/>
      <c r="Y132" s="76"/>
      <c r="Z132" s="76"/>
      <c r="AA132" s="76"/>
      <c r="AB132" s="76"/>
      <c r="AC132" s="76"/>
      <c r="AD132" s="76"/>
      <c r="AE132" s="76"/>
      <c r="AF132" s="76"/>
      <c r="AG132" s="64"/>
      <c r="AH132" s="64"/>
      <c r="AI132" s="64"/>
      <c r="AJ132" s="64"/>
    </row>
    <row r="133" spans="1:36" s="57" customFormat="1" ht="63" customHeight="1" thickBot="1">
      <c r="A133" s="28"/>
      <c r="B133" s="28"/>
      <c r="C133" s="28" t="s">
        <v>28</v>
      </c>
      <c r="D133" s="29" t="s">
        <v>27</v>
      </c>
      <c r="E133" s="134"/>
      <c r="F133" s="44"/>
      <c r="G133" s="72">
        <f>COUNTIF(C126:C132,"*")</f>
        <v>6</v>
      </c>
      <c r="H133" s="72"/>
      <c r="I133" s="72"/>
      <c r="J133" s="74" t="str">
        <f>IF(SUM(J126:J132)&gt;0,SUM(J126:J132)," ")</f>
        <v> </v>
      </c>
      <c r="K133" s="72"/>
      <c r="L133" s="28"/>
      <c r="M133" s="28">
        <f>COUNTIF(M126:M132,"*")</f>
        <v>0</v>
      </c>
      <c r="N133" s="28">
        <f>COUNTIF(N126:N132,"*")</f>
        <v>0</v>
      </c>
      <c r="O133" s="28">
        <f>COUNTIF(O126:O132,"*")</f>
        <v>0</v>
      </c>
      <c r="P133" s="28">
        <f>COUNTIF(P126:P132,"*")</f>
        <v>2</v>
      </c>
      <c r="Q133" s="28">
        <f aca="true" t="shared" si="6" ref="Q133:X133">IF(SUM(Q126:Q132)&gt;0,SUM(Q126:Q132)," ")</f>
        <v>71</v>
      </c>
      <c r="R133" s="28">
        <f t="shared" si="6"/>
        <v>55</v>
      </c>
      <c r="S133" s="28">
        <f t="shared" si="6"/>
        <v>4420.5599999999995</v>
      </c>
      <c r="T133" s="28" t="str">
        <f t="shared" si="6"/>
        <v> </v>
      </c>
      <c r="U133" s="28">
        <f t="shared" si="6"/>
        <v>4420.5599999999995</v>
      </c>
      <c r="V133" s="28">
        <f t="shared" si="6"/>
        <v>2878</v>
      </c>
      <c r="W133" s="28" t="str">
        <f t="shared" si="6"/>
        <v> </v>
      </c>
      <c r="X133" s="28">
        <f t="shared" si="6"/>
        <v>2878</v>
      </c>
      <c r="Y133" s="73"/>
      <c r="Z133" s="73"/>
      <c r="AA133" s="28">
        <f aca="true" t="shared" si="7" ref="AA133:AF133">COUNTIF(AA126:AA132,"*")</f>
        <v>1</v>
      </c>
      <c r="AB133" s="28">
        <f t="shared" si="7"/>
        <v>0</v>
      </c>
      <c r="AC133" s="28">
        <f t="shared" si="7"/>
        <v>0</v>
      </c>
      <c r="AD133" s="28">
        <f t="shared" si="7"/>
        <v>0</v>
      </c>
      <c r="AE133" s="28">
        <f t="shared" si="7"/>
        <v>0</v>
      </c>
      <c r="AF133" s="28">
        <f t="shared" si="7"/>
        <v>0</v>
      </c>
      <c r="AG133" s="73"/>
      <c r="AH133" s="73"/>
      <c r="AI133" s="73"/>
      <c r="AJ133" s="73"/>
    </row>
    <row r="134" spans="1:26" s="26" customFormat="1" ht="27.75" thickBot="1">
      <c r="A134" s="21" t="s">
        <v>21</v>
      </c>
      <c r="B134" s="21"/>
      <c r="C134" s="22" t="s">
        <v>22</v>
      </c>
      <c r="D134" s="23"/>
      <c r="E134" s="138" t="s">
        <v>22</v>
      </c>
      <c r="F134" s="23"/>
      <c r="G134" s="23" t="s">
        <v>22</v>
      </c>
      <c r="H134" s="23"/>
      <c r="I134" s="23"/>
      <c r="J134" s="35" t="s">
        <v>81</v>
      </c>
      <c r="K134" s="36"/>
      <c r="L134" s="23" t="s">
        <v>22</v>
      </c>
      <c r="M134" s="23"/>
      <c r="N134" s="23"/>
      <c r="O134" s="23"/>
      <c r="P134" s="23"/>
      <c r="Q134" s="24"/>
      <c r="R134" s="24" t="s">
        <v>22</v>
      </c>
      <c r="S134" s="24"/>
      <c r="T134" s="24"/>
      <c r="U134" s="24"/>
      <c r="V134" s="24"/>
      <c r="W134" s="24" t="s">
        <v>22</v>
      </c>
      <c r="X134" s="24"/>
      <c r="Y134" s="30"/>
      <c r="Z134" s="30"/>
    </row>
    <row r="135" spans="1:36" s="70" customFormat="1" ht="18.75">
      <c r="A135" s="8"/>
      <c r="B135" s="8"/>
      <c r="C135" s="8"/>
      <c r="D135" s="8"/>
      <c r="E135" s="119"/>
      <c r="F135" s="8"/>
      <c r="G135" s="8"/>
      <c r="H135" s="8"/>
      <c r="I135" s="8"/>
      <c r="J135" s="5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</row>
    <row r="136" spans="1:36" s="70" customFormat="1" ht="18.75">
      <c r="A136" s="8"/>
      <c r="B136" s="8"/>
      <c r="C136" s="8"/>
      <c r="D136" s="8"/>
      <c r="E136" s="119"/>
      <c r="F136" s="8"/>
      <c r="G136" s="8"/>
      <c r="H136" s="8"/>
      <c r="I136" s="8"/>
      <c r="J136" s="50"/>
      <c r="K136" s="8"/>
      <c r="L136" s="8"/>
      <c r="M136" s="8"/>
      <c r="N136" s="8"/>
      <c r="O136" s="8"/>
      <c r="P136" s="8"/>
      <c r="Q136" s="8"/>
      <c r="R136" s="65"/>
      <c r="S136" s="8"/>
      <c r="T136" s="8"/>
      <c r="U136" s="8"/>
      <c r="V136" s="8"/>
      <c r="W136" s="8"/>
      <c r="X136" s="8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</row>
    <row r="137" spans="1:36" s="70" customFormat="1" ht="18.75">
      <c r="A137" s="8"/>
      <c r="B137" s="8"/>
      <c r="C137" s="8"/>
      <c r="D137" s="8"/>
      <c r="E137" s="119"/>
      <c r="F137" s="8"/>
      <c r="G137" s="8"/>
      <c r="H137" s="8"/>
      <c r="I137" s="8"/>
      <c r="J137" s="69"/>
      <c r="K137" s="8"/>
      <c r="L137" s="8"/>
      <c r="M137" s="8"/>
      <c r="N137" s="8"/>
      <c r="O137" s="8"/>
      <c r="P137" s="8"/>
      <c r="Q137" s="8"/>
      <c r="R137" s="65"/>
      <c r="S137" s="8"/>
      <c r="T137" s="8"/>
      <c r="U137" s="8"/>
      <c r="V137" s="8"/>
      <c r="W137" s="8"/>
      <c r="X137" s="8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</row>
    <row r="138" spans="1:36" s="57" customFormat="1" ht="66.75" customHeight="1">
      <c r="A138" s="28"/>
      <c r="B138" s="28"/>
      <c r="C138" s="28" t="s">
        <v>29</v>
      </c>
      <c r="D138" s="29" t="s">
        <v>27</v>
      </c>
      <c r="E138" s="134"/>
      <c r="F138" s="44"/>
      <c r="G138" s="72">
        <f>COUNTIF(C135:C137,"*")</f>
        <v>0</v>
      </c>
      <c r="H138" s="72"/>
      <c r="I138" s="72"/>
      <c r="J138" s="72" t="str">
        <f>IF(SUM(J135:J137)&gt;0,SUM(J135:J137)," ")</f>
        <v> </v>
      </c>
      <c r="K138" s="72"/>
      <c r="L138" s="28"/>
      <c r="M138" s="28">
        <f>COUNTIF(M135:M137,"*")</f>
        <v>0</v>
      </c>
      <c r="N138" s="28">
        <f>COUNTIF(N135:N137,"*")</f>
        <v>0</v>
      </c>
      <c r="O138" s="28">
        <f>COUNTIF(O135:O137,"*")</f>
        <v>0</v>
      </c>
      <c r="P138" s="28">
        <f>COUNTIF(P135:P137,"*")</f>
        <v>0</v>
      </c>
      <c r="Q138" s="28" t="str">
        <f aca="true" t="shared" si="8" ref="Q138:X138">IF(SUM(Q135:Q137)&gt;0,SUM(Q135:Q137)," ")</f>
        <v> </v>
      </c>
      <c r="R138" s="29" t="str">
        <f t="shared" si="8"/>
        <v> </v>
      </c>
      <c r="S138" s="28" t="str">
        <f t="shared" si="8"/>
        <v> </v>
      </c>
      <c r="T138" s="28" t="str">
        <f t="shared" si="8"/>
        <v> </v>
      </c>
      <c r="U138" s="28" t="str">
        <f t="shared" si="8"/>
        <v> </v>
      </c>
      <c r="V138" s="28" t="str">
        <f t="shared" si="8"/>
        <v> </v>
      </c>
      <c r="W138" s="28" t="str">
        <f t="shared" si="8"/>
        <v> </v>
      </c>
      <c r="X138" s="28" t="str">
        <f t="shared" si="8"/>
        <v> </v>
      </c>
      <c r="Y138" s="73"/>
      <c r="Z138" s="73"/>
      <c r="AA138" s="28">
        <f aca="true" t="shared" si="9" ref="AA138:AF138">COUNTIF(AA135:AA137,"*")</f>
        <v>0</v>
      </c>
      <c r="AB138" s="28">
        <f t="shared" si="9"/>
        <v>0</v>
      </c>
      <c r="AC138" s="28">
        <f t="shared" si="9"/>
        <v>0</v>
      </c>
      <c r="AD138" s="28">
        <f t="shared" si="9"/>
        <v>0</v>
      </c>
      <c r="AE138" s="28">
        <f t="shared" si="9"/>
        <v>0</v>
      </c>
      <c r="AF138" s="28">
        <f t="shared" si="9"/>
        <v>0</v>
      </c>
      <c r="AG138" s="73"/>
      <c r="AH138" s="73"/>
      <c r="AI138" s="73"/>
      <c r="AJ138" s="73"/>
    </row>
    <row r="139" spans="1:36" s="129" customFormat="1" ht="45" customHeight="1">
      <c r="A139" s="125"/>
      <c r="B139" s="125"/>
      <c r="C139" s="125" t="s">
        <v>23</v>
      </c>
      <c r="D139" s="126" t="s">
        <v>27</v>
      </c>
      <c r="E139" s="141"/>
      <c r="F139" s="127"/>
      <c r="G139" s="128">
        <f>Лист3!B7</f>
        <v>101</v>
      </c>
      <c r="H139" s="128"/>
      <c r="I139" s="128"/>
      <c r="J139" s="128"/>
      <c r="K139" s="128"/>
      <c r="L139" s="125"/>
      <c r="M139" s="125">
        <f>Лист3!C7</f>
        <v>4</v>
      </c>
      <c r="N139" s="125">
        <f>Лист3!D7</f>
        <v>2</v>
      </c>
      <c r="O139" s="125">
        <f>Лист3!E7</f>
        <v>55</v>
      </c>
      <c r="P139" s="125">
        <f>Лист3!F7</f>
        <v>37</v>
      </c>
      <c r="Q139" s="125">
        <f>Лист3!G7</f>
        <v>383</v>
      </c>
      <c r="R139" s="126">
        <f>Лист3!H7</f>
        <v>307</v>
      </c>
      <c r="S139" s="125">
        <f>Лист3!I7</f>
        <v>15108.730000000001</v>
      </c>
      <c r="T139" s="125">
        <f>Лист3!J7</f>
        <v>5993.270000000001</v>
      </c>
      <c r="U139" s="125">
        <f>Лист3!K7</f>
        <v>8882.36</v>
      </c>
      <c r="V139" s="125">
        <f>Лист3!L7</f>
        <v>8923.85</v>
      </c>
      <c r="W139" s="125">
        <f>Лист3!M7</f>
        <v>3497.8500000000004</v>
      </c>
      <c r="X139" s="125">
        <f>Лист3!N7</f>
        <v>5444</v>
      </c>
      <c r="Y139" s="125"/>
      <c r="Z139" s="125"/>
      <c r="AA139" s="125">
        <f>Лист3!O7</f>
        <v>54</v>
      </c>
      <c r="AB139" s="125">
        <f>Лист3!P7</f>
        <v>6</v>
      </c>
      <c r="AC139" s="125">
        <f>Лист3!Q7</f>
        <v>46</v>
      </c>
      <c r="AD139" s="125">
        <f>Лист3!R7</f>
        <v>46</v>
      </c>
      <c r="AE139" s="125">
        <f>(AE138+AE133+AE124+AE71+AE34)</f>
        <v>0</v>
      </c>
      <c r="AF139" s="125">
        <f>(AF138+AF133+AF124+AF71+AF34)</f>
        <v>0</v>
      </c>
      <c r="AG139" s="125"/>
      <c r="AH139" s="125"/>
      <c r="AI139" s="125"/>
      <c r="AJ139" s="125"/>
    </row>
  </sheetData>
  <sheetProtection password="CC61" sheet="1" formatCells="0" formatColumns="0" formatRows="0" insertRows="0" deleteRows="0" autoFilter="0"/>
  <mergeCells count="40">
    <mergeCell ref="AG5:AJ7"/>
    <mergeCell ref="U1:AB1"/>
    <mergeCell ref="Y5:Y8"/>
    <mergeCell ref="B2:X2"/>
    <mergeCell ref="L5:L8"/>
    <mergeCell ref="K5:K8"/>
    <mergeCell ref="O5:P5"/>
    <mergeCell ref="R6:R8"/>
    <mergeCell ref="J5:J8"/>
    <mergeCell ref="F5:F8"/>
    <mergeCell ref="G5:G8"/>
    <mergeCell ref="AD5:AD8"/>
    <mergeCell ref="AA5:AA8"/>
    <mergeCell ref="AB5:AB8"/>
    <mergeCell ref="Z5:Z8"/>
    <mergeCell ref="V6:X6"/>
    <mergeCell ref="T7:U7"/>
    <mergeCell ref="Q6:Q8"/>
    <mergeCell ref="Q5:R5"/>
    <mergeCell ref="S5:X5"/>
    <mergeCell ref="A5:A8"/>
    <mergeCell ref="X10:Y10"/>
    <mergeCell ref="M5:M8"/>
    <mergeCell ref="P6:P8"/>
    <mergeCell ref="W7:X7"/>
    <mergeCell ref="S6:U6"/>
    <mergeCell ref="O6:O8"/>
    <mergeCell ref="E5:E8"/>
    <mergeCell ref="H5:H8"/>
    <mergeCell ref="I5:I8"/>
    <mergeCell ref="AE5:AF7"/>
    <mergeCell ref="B3:X3"/>
    <mergeCell ref="N5:N8"/>
    <mergeCell ref="B5:B8"/>
    <mergeCell ref="C5:C8"/>
    <mergeCell ref="D5:D8"/>
    <mergeCell ref="B4:X4"/>
    <mergeCell ref="S7:S8"/>
    <mergeCell ref="V7:V8"/>
    <mergeCell ref="AC5:AC8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65"/>
  <sheetViews>
    <sheetView view="pageBreakPreview" zoomScale="90" zoomScaleSheetLayoutView="90" zoomScalePageLayoutView="0" workbookViewId="0" topLeftCell="A1">
      <pane ySplit="9" topLeftCell="A58" activePane="bottomLeft" state="frozen"/>
      <selection pane="topLeft" activeCell="D1" sqref="D1"/>
      <selection pane="bottomLeft" activeCell="F61" sqref="F61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5.7109375" style="1" customWidth="1"/>
    <col min="4" max="4" width="13.421875" style="1" customWidth="1"/>
    <col min="5" max="5" width="13.8515625" style="1" customWidth="1"/>
    <col min="6" max="6" width="14.28125" style="1" customWidth="1"/>
    <col min="7" max="7" width="13.28125" style="1" customWidth="1"/>
    <col min="8" max="8" width="7.57421875" style="1" customWidth="1"/>
    <col min="9" max="9" width="4.421875" style="1" customWidth="1"/>
    <col min="10" max="10" width="8.140625" style="1" customWidth="1"/>
    <col min="11" max="11" width="12.8515625" style="1" customWidth="1"/>
    <col min="12" max="12" width="8.00390625" style="1" customWidth="1"/>
    <col min="13" max="13" width="10.140625" style="1" customWidth="1"/>
    <col min="14" max="14" width="9.140625" style="1" customWidth="1"/>
    <col min="15" max="16" width="8.7109375" style="1" customWidth="1"/>
    <col min="17" max="18" width="9.140625" style="1" customWidth="1"/>
    <col min="19" max="19" width="10.421875" style="1" customWidth="1"/>
    <col min="20" max="20" width="13.7109375" style="1" customWidth="1"/>
    <col min="21" max="21" width="12.421875" style="1" customWidth="1"/>
    <col min="22" max="16384" width="9.140625" style="1" customWidth="1"/>
  </cols>
  <sheetData>
    <row r="1" spans="2:13" ht="18.75">
      <c r="B1" s="3"/>
      <c r="C1" s="3"/>
      <c r="D1" s="3"/>
      <c r="E1" s="3">
        <f>COUNTIF(T39:T56,"*")</f>
        <v>0</v>
      </c>
      <c r="F1" s="3"/>
      <c r="G1" s="3"/>
      <c r="H1" s="3"/>
      <c r="I1" s="3"/>
      <c r="J1" s="3"/>
      <c r="K1" s="4"/>
      <c r="L1" s="4"/>
      <c r="M1" s="5"/>
    </row>
    <row r="2" spans="2:13" ht="18" customHeight="1">
      <c r="B2" s="265" t="s">
        <v>86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2:13" ht="23.25" customHeight="1">
      <c r="B3" s="221" t="s">
        <v>665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2:24" ht="18.75" customHeight="1">
      <c r="B4" s="229" t="s">
        <v>901</v>
      </c>
      <c r="C4" s="229"/>
      <c r="D4" s="229"/>
      <c r="E4" s="229"/>
      <c r="F4" s="229"/>
      <c r="G4" s="229"/>
      <c r="H4" s="229"/>
      <c r="I4" s="229"/>
      <c r="J4" s="229"/>
      <c r="K4" s="229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1" s="26" customFormat="1" ht="73.5" customHeight="1">
      <c r="A5" s="259" t="s">
        <v>1</v>
      </c>
      <c r="B5" s="225" t="s">
        <v>198</v>
      </c>
      <c r="C5" s="259" t="s">
        <v>87</v>
      </c>
      <c r="D5" s="259" t="s">
        <v>82</v>
      </c>
      <c r="E5" s="259" t="s">
        <v>186</v>
      </c>
      <c r="F5" s="259" t="s">
        <v>187</v>
      </c>
      <c r="G5" s="259" t="s">
        <v>71</v>
      </c>
      <c r="H5" s="259" t="s">
        <v>2</v>
      </c>
      <c r="I5" s="267" t="s">
        <v>83</v>
      </c>
      <c r="J5" s="267" t="s">
        <v>188</v>
      </c>
      <c r="K5" s="259" t="s">
        <v>185</v>
      </c>
      <c r="L5" s="270" t="s">
        <v>4</v>
      </c>
      <c r="M5" s="270"/>
      <c r="N5" s="266" t="s">
        <v>189</v>
      </c>
      <c r="O5" s="266" t="s">
        <v>190</v>
      </c>
      <c r="P5" s="266"/>
      <c r="Q5" s="266"/>
      <c r="R5" s="266"/>
      <c r="S5" s="266"/>
      <c r="T5" s="215" t="s">
        <v>209</v>
      </c>
      <c r="U5" s="216"/>
    </row>
    <row r="6" spans="1:21" s="26" customFormat="1" ht="39" customHeight="1">
      <c r="A6" s="260"/>
      <c r="B6" s="226"/>
      <c r="C6" s="260"/>
      <c r="D6" s="260"/>
      <c r="E6" s="260"/>
      <c r="F6" s="260"/>
      <c r="G6" s="260"/>
      <c r="H6" s="260"/>
      <c r="I6" s="268"/>
      <c r="J6" s="268"/>
      <c r="K6" s="260"/>
      <c r="L6" s="271" t="s">
        <v>5</v>
      </c>
      <c r="M6" s="271" t="s">
        <v>6</v>
      </c>
      <c r="N6" s="266"/>
      <c r="O6" s="272" t="s">
        <v>84</v>
      </c>
      <c r="P6" s="215" t="s">
        <v>85</v>
      </c>
      <c r="Q6" s="216"/>
      <c r="R6" s="266" t="s">
        <v>88</v>
      </c>
      <c r="S6" s="266"/>
      <c r="T6" s="217"/>
      <c r="U6" s="218"/>
    </row>
    <row r="7" spans="1:21" s="26" customFormat="1" ht="18.75">
      <c r="A7" s="260"/>
      <c r="B7" s="226"/>
      <c r="C7" s="260"/>
      <c r="D7" s="260"/>
      <c r="E7" s="260"/>
      <c r="F7" s="260"/>
      <c r="G7" s="260"/>
      <c r="H7" s="260"/>
      <c r="I7" s="268"/>
      <c r="J7" s="268"/>
      <c r="K7" s="260"/>
      <c r="L7" s="271"/>
      <c r="M7" s="271"/>
      <c r="N7" s="266"/>
      <c r="O7" s="273"/>
      <c r="P7" s="219"/>
      <c r="Q7" s="220"/>
      <c r="R7" s="266"/>
      <c r="S7" s="266"/>
      <c r="T7" s="219"/>
      <c r="U7" s="220"/>
    </row>
    <row r="8" spans="1:21" s="26" customFormat="1" ht="68.25" customHeight="1">
      <c r="A8" s="261"/>
      <c r="B8" s="227"/>
      <c r="C8" s="261"/>
      <c r="D8" s="261"/>
      <c r="E8" s="261"/>
      <c r="F8" s="261"/>
      <c r="G8" s="261"/>
      <c r="H8" s="261"/>
      <c r="I8" s="269"/>
      <c r="J8" s="269"/>
      <c r="K8" s="261"/>
      <c r="L8" s="271"/>
      <c r="M8" s="271"/>
      <c r="N8" s="272"/>
      <c r="O8" s="274"/>
      <c r="P8" s="101" t="s">
        <v>89</v>
      </c>
      <c r="Q8" s="101" t="s">
        <v>90</v>
      </c>
      <c r="R8" s="101" t="s">
        <v>89</v>
      </c>
      <c r="S8" s="102" t="s">
        <v>90</v>
      </c>
      <c r="T8" s="111" t="s">
        <v>210</v>
      </c>
      <c r="U8" s="111" t="s">
        <v>211</v>
      </c>
    </row>
    <row r="9" spans="1:21" s="31" customFormat="1" ht="18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56">
        <v>20</v>
      </c>
      <c r="U9" s="56">
        <v>21</v>
      </c>
    </row>
    <row r="10" spans="1:21" s="26" customFormat="1" ht="30" customHeight="1">
      <c r="A10" s="103"/>
      <c r="B10" s="103"/>
      <c r="C10" s="100" t="s">
        <v>91</v>
      </c>
      <c r="D10" s="100"/>
      <c r="E10" s="100"/>
      <c r="F10" s="24"/>
      <c r="G10" s="24" t="s">
        <v>91</v>
      </c>
      <c r="H10" s="24"/>
      <c r="I10" s="24"/>
      <c r="J10" s="24"/>
      <c r="K10" s="24"/>
      <c r="L10" s="24" t="s">
        <v>91</v>
      </c>
      <c r="M10" s="24"/>
      <c r="N10" s="24"/>
      <c r="O10" s="24"/>
      <c r="P10" s="24" t="s">
        <v>91</v>
      </c>
      <c r="Q10" s="24"/>
      <c r="R10" s="24"/>
      <c r="S10" s="24"/>
      <c r="T10" s="31"/>
      <c r="U10" s="31"/>
    </row>
    <row r="11" spans="1:21" s="70" customFormat="1" ht="103.5">
      <c r="A11" s="8">
        <v>1</v>
      </c>
      <c r="B11" s="8" t="s">
        <v>774</v>
      </c>
      <c r="C11" s="8" t="s">
        <v>598</v>
      </c>
      <c r="D11" s="8" t="s">
        <v>237</v>
      </c>
      <c r="E11" s="8" t="s">
        <v>599</v>
      </c>
      <c r="F11" s="8" t="s">
        <v>599</v>
      </c>
      <c r="G11" s="8" t="s">
        <v>600</v>
      </c>
      <c r="H11" s="8" t="s">
        <v>601</v>
      </c>
      <c r="I11" s="8"/>
      <c r="J11" s="8"/>
      <c r="K11" s="8">
        <v>1</v>
      </c>
      <c r="L11" s="8">
        <v>6</v>
      </c>
      <c r="M11" s="8">
        <v>6</v>
      </c>
      <c r="N11" s="64" t="s">
        <v>223</v>
      </c>
      <c r="O11" s="64" t="s">
        <v>222</v>
      </c>
      <c r="P11" s="64"/>
      <c r="Q11" s="64"/>
      <c r="R11" s="64"/>
      <c r="S11" s="64"/>
      <c r="T11" s="64"/>
      <c r="U11" s="64"/>
    </row>
    <row r="12" spans="1:21" s="70" customFormat="1" ht="103.5">
      <c r="A12" s="8">
        <v>2</v>
      </c>
      <c r="B12" s="8" t="s">
        <v>774</v>
      </c>
      <c r="C12" s="51" t="s">
        <v>895</v>
      </c>
      <c r="D12" s="51" t="s">
        <v>237</v>
      </c>
      <c r="E12" s="51" t="s">
        <v>896</v>
      </c>
      <c r="F12" s="8" t="s">
        <v>897</v>
      </c>
      <c r="G12" s="8" t="s">
        <v>898</v>
      </c>
      <c r="H12" s="8" t="s">
        <v>899</v>
      </c>
      <c r="I12" s="8" t="s">
        <v>222</v>
      </c>
      <c r="J12" s="8" t="s">
        <v>222</v>
      </c>
      <c r="K12" s="8">
        <v>2</v>
      </c>
      <c r="L12" s="8">
        <v>15</v>
      </c>
      <c r="M12" s="65">
        <v>15</v>
      </c>
      <c r="N12" s="64"/>
      <c r="O12" s="64" t="s">
        <v>222</v>
      </c>
      <c r="P12" s="64"/>
      <c r="Q12" s="64"/>
      <c r="R12" s="64"/>
      <c r="S12" s="64"/>
      <c r="T12" s="64"/>
      <c r="U12" s="64"/>
    </row>
    <row r="13" spans="1:21" s="70" customFormat="1" ht="18.75">
      <c r="A13" s="8"/>
      <c r="B13" s="8"/>
      <c r="C13" s="51"/>
      <c r="D13" s="51"/>
      <c r="E13" s="51"/>
      <c r="F13" s="8"/>
      <c r="G13" s="8"/>
      <c r="H13" s="8"/>
      <c r="I13" s="8"/>
      <c r="J13" s="8"/>
      <c r="K13" s="8"/>
      <c r="L13" s="8"/>
      <c r="M13" s="65"/>
      <c r="N13" s="64"/>
      <c r="O13" s="64"/>
      <c r="P13" s="64"/>
      <c r="Q13" s="64"/>
      <c r="R13" s="64"/>
      <c r="S13" s="67"/>
      <c r="T13" s="64"/>
      <c r="U13" s="64"/>
    </row>
    <row r="14" spans="1:21" s="57" customFormat="1" ht="39.75">
      <c r="A14" s="28"/>
      <c r="B14" s="28"/>
      <c r="C14" s="28" t="s">
        <v>100</v>
      </c>
      <c r="D14" s="262" t="s">
        <v>27</v>
      </c>
      <c r="E14" s="264"/>
      <c r="F14" s="44">
        <f>COUNTIF(C11:C13,"*")</f>
        <v>2</v>
      </c>
      <c r="G14" s="28"/>
      <c r="H14" s="28"/>
      <c r="I14" s="28">
        <f>COUNTIF(I11:I13,"*")</f>
        <v>1</v>
      </c>
      <c r="J14" s="28">
        <f>COUNTIF(J11:J13,"*")</f>
        <v>1</v>
      </c>
      <c r="K14" s="28">
        <f>SUM(K11:K13)</f>
        <v>3</v>
      </c>
      <c r="L14" s="28">
        <f>SUM(L11:L13)</f>
        <v>21</v>
      </c>
      <c r="M14" s="28">
        <f>SUM(M11:M13)</f>
        <v>21</v>
      </c>
      <c r="N14" s="73"/>
      <c r="O14" s="28">
        <f aca="true" t="shared" si="0" ref="O14:U14">COUNTIF(O11:O13,"*")</f>
        <v>2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9">
        <f t="shared" si="0"/>
        <v>0</v>
      </c>
      <c r="T14" s="73">
        <f t="shared" si="0"/>
        <v>0</v>
      </c>
      <c r="U14" s="73">
        <f t="shared" si="0"/>
        <v>0</v>
      </c>
    </row>
    <row r="15" spans="1:21" s="26" customFormat="1" ht="23.25" customHeight="1">
      <c r="A15" s="38"/>
      <c r="B15" s="38"/>
      <c r="C15" s="24" t="s">
        <v>92</v>
      </c>
      <c r="D15" s="24"/>
      <c r="E15" s="24" t="s">
        <v>92</v>
      </c>
      <c r="F15" s="24"/>
      <c r="G15" s="24"/>
      <c r="H15" s="24" t="s">
        <v>92</v>
      </c>
      <c r="I15" s="24"/>
      <c r="J15" s="24"/>
      <c r="K15" s="24"/>
      <c r="L15" s="24" t="s">
        <v>92</v>
      </c>
      <c r="M15" s="24"/>
      <c r="N15" s="45"/>
      <c r="O15" s="45"/>
      <c r="P15" s="24" t="s">
        <v>92</v>
      </c>
      <c r="Q15" s="45"/>
      <c r="R15" s="45"/>
      <c r="S15" s="45"/>
      <c r="T15" s="31"/>
      <c r="U15" s="31"/>
    </row>
    <row r="16" spans="1:21" s="210" customFormat="1" ht="103.5">
      <c r="A16" s="206">
        <v>1</v>
      </c>
      <c r="B16" s="206" t="s">
        <v>774</v>
      </c>
      <c r="C16" s="206" t="s">
        <v>602</v>
      </c>
      <c r="D16" s="206" t="s">
        <v>603</v>
      </c>
      <c r="E16" s="206" t="s">
        <v>604</v>
      </c>
      <c r="F16" s="206" t="s">
        <v>604</v>
      </c>
      <c r="G16" s="206" t="s">
        <v>605</v>
      </c>
      <c r="H16" s="206" t="s">
        <v>606</v>
      </c>
      <c r="I16" s="206"/>
      <c r="J16" s="206"/>
      <c r="K16" s="206"/>
      <c r="L16" s="206">
        <v>6</v>
      </c>
      <c r="M16" s="206">
        <v>6</v>
      </c>
      <c r="N16" s="208" t="s">
        <v>223</v>
      </c>
      <c r="O16" s="208" t="s">
        <v>222</v>
      </c>
      <c r="P16" s="208"/>
      <c r="Q16" s="208"/>
      <c r="R16" s="208"/>
      <c r="S16" s="209"/>
      <c r="T16" s="208"/>
      <c r="U16" s="208"/>
    </row>
    <row r="17" spans="1:21" s="210" customFormat="1" ht="103.5">
      <c r="A17" s="206">
        <v>2</v>
      </c>
      <c r="B17" s="206" t="s">
        <v>774</v>
      </c>
      <c r="C17" s="206" t="s">
        <v>607</v>
      </c>
      <c r="D17" s="206" t="s">
        <v>359</v>
      </c>
      <c r="E17" s="206" t="s">
        <v>608</v>
      </c>
      <c r="F17" s="206" t="s">
        <v>608</v>
      </c>
      <c r="G17" s="206" t="s">
        <v>609</v>
      </c>
      <c r="H17" s="206" t="s">
        <v>606</v>
      </c>
      <c r="I17" s="206"/>
      <c r="J17" s="206"/>
      <c r="K17" s="206">
        <v>1</v>
      </c>
      <c r="L17" s="206">
        <v>6.5</v>
      </c>
      <c r="M17" s="207">
        <v>6.5</v>
      </c>
      <c r="N17" s="208" t="s">
        <v>223</v>
      </c>
      <c r="O17" s="208" t="s">
        <v>222</v>
      </c>
      <c r="P17" s="208"/>
      <c r="Q17" s="208"/>
      <c r="R17" s="208"/>
      <c r="S17" s="209"/>
      <c r="T17" s="208"/>
      <c r="U17" s="208"/>
    </row>
    <row r="18" spans="1:21" s="210" customFormat="1" ht="103.5">
      <c r="A18" s="206">
        <v>3</v>
      </c>
      <c r="B18" s="206" t="s">
        <v>774</v>
      </c>
      <c r="C18" s="206" t="s">
        <v>610</v>
      </c>
      <c r="D18" s="206" t="s">
        <v>359</v>
      </c>
      <c r="E18" s="206" t="s">
        <v>611</v>
      </c>
      <c r="F18" s="206" t="s">
        <v>611</v>
      </c>
      <c r="G18" s="206" t="s">
        <v>612</v>
      </c>
      <c r="H18" s="206" t="s">
        <v>606</v>
      </c>
      <c r="I18" s="206"/>
      <c r="J18" s="206"/>
      <c r="K18" s="206">
        <v>1</v>
      </c>
      <c r="L18" s="206">
        <v>18</v>
      </c>
      <c r="M18" s="207">
        <v>18</v>
      </c>
      <c r="N18" s="208" t="s">
        <v>223</v>
      </c>
      <c r="O18" s="208" t="s">
        <v>222</v>
      </c>
      <c r="P18" s="208"/>
      <c r="Q18" s="208"/>
      <c r="R18" s="208"/>
      <c r="S18" s="209"/>
      <c r="T18" s="208"/>
      <c r="U18" s="208"/>
    </row>
    <row r="19" spans="1:21" s="205" customFormat="1" ht="78">
      <c r="A19" s="195">
        <v>4</v>
      </c>
      <c r="B19" s="195" t="s">
        <v>778</v>
      </c>
      <c r="C19" s="195" t="s">
        <v>916</v>
      </c>
      <c r="D19" s="195" t="s">
        <v>917</v>
      </c>
      <c r="E19" s="195" t="s">
        <v>919</v>
      </c>
      <c r="F19" s="195" t="s">
        <v>919</v>
      </c>
      <c r="G19" s="195" t="s">
        <v>918</v>
      </c>
      <c r="H19" s="195" t="s">
        <v>313</v>
      </c>
      <c r="I19" s="195" t="s">
        <v>222</v>
      </c>
      <c r="J19" s="195"/>
      <c r="K19" s="195">
        <v>1</v>
      </c>
      <c r="L19" s="195">
        <v>18</v>
      </c>
      <c r="M19" s="204">
        <v>18</v>
      </c>
      <c r="N19" s="199" t="s">
        <v>223</v>
      </c>
      <c r="O19" s="199" t="s">
        <v>222</v>
      </c>
      <c r="P19" s="199"/>
      <c r="Q19" s="199"/>
      <c r="R19" s="199"/>
      <c r="S19" s="200"/>
      <c r="T19" s="199"/>
      <c r="U19" s="199">
        <v>100</v>
      </c>
    </row>
    <row r="20" spans="1:21" s="70" customFormat="1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5"/>
      <c r="N20" s="64"/>
      <c r="O20" s="64"/>
      <c r="P20" s="64"/>
      <c r="Q20" s="64"/>
      <c r="R20" s="64"/>
      <c r="S20" s="67"/>
      <c r="T20" s="64"/>
      <c r="U20" s="64">
        <v>90</v>
      </c>
    </row>
    <row r="21" spans="1:21" s="70" customFormat="1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5"/>
      <c r="N21" s="64"/>
      <c r="O21" s="64"/>
      <c r="P21" s="64"/>
      <c r="Q21" s="64"/>
      <c r="R21" s="64"/>
      <c r="S21" s="67"/>
      <c r="T21" s="64"/>
      <c r="U21" s="64"/>
    </row>
    <row r="22" spans="1:21" s="57" customFormat="1" ht="39.75">
      <c r="A22" s="28"/>
      <c r="B22" s="28"/>
      <c r="C22" s="28" t="s">
        <v>101</v>
      </c>
      <c r="D22" s="262" t="s">
        <v>27</v>
      </c>
      <c r="E22" s="264"/>
      <c r="F22" s="28">
        <f>COUNTIF(C16:C21,"*")</f>
        <v>4</v>
      </c>
      <c r="G22" s="28"/>
      <c r="H22" s="28"/>
      <c r="I22" s="28">
        <f>COUNTIF(I16:I21,"*")</f>
        <v>1</v>
      </c>
      <c r="J22" s="28">
        <f>COUNTIF(J16:J21,"*")</f>
        <v>0</v>
      </c>
      <c r="K22" s="28">
        <f>SUM(K16:K21)</f>
        <v>3</v>
      </c>
      <c r="L22" s="28">
        <f>SUM(L16:L21)</f>
        <v>48.5</v>
      </c>
      <c r="M22" s="28">
        <f>SUM(M16:M21)</f>
        <v>48.5</v>
      </c>
      <c r="N22" s="73"/>
      <c r="O22" s="28">
        <f aca="true" t="shared" si="1" ref="O22:U22">COUNTIF(O16:O21,"*")</f>
        <v>4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29">
        <f t="shared" si="1"/>
        <v>0</v>
      </c>
      <c r="T22" s="73">
        <f t="shared" si="1"/>
        <v>0</v>
      </c>
      <c r="U22" s="73">
        <f t="shared" si="1"/>
        <v>0</v>
      </c>
    </row>
    <row r="23" spans="1:21" s="26" customFormat="1" ht="28.5" customHeight="1">
      <c r="A23" s="38"/>
      <c r="B23" s="38"/>
      <c r="C23" s="24" t="s">
        <v>98</v>
      </c>
      <c r="D23" s="24"/>
      <c r="E23" s="24" t="s">
        <v>93</v>
      </c>
      <c r="F23" s="24"/>
      <c r="G23" s="24"/>
      <c r="H23" s="24" t="s">
        <v>93</v>
      </c>
      <c r="I23" s="24"/>
      <c r="J23" s="24"/>
      <c r="K23" s="24"/>
      <c r="L23" s="24" t="s">
        <v>93</v>
      </c>
      <c r="M23" s="24"/>
      <c r="N23" s="45"/>
      <c r="O23" s="24" t="s">
        <v>93</v>
      </c>
      <c r="P23" s="45"/>
      <c r="Q23" s="45"/>
      <c r="R23" s="45"/>
      <c r="S23" s="45"/>
      <c r="T23" s="31"/>
      <c r="U23" s="31"/>
    </row>
    <row r="24" spans="1:21" s="70" customFormat="1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4"/>
      <c r="O24" s="8"/>
      <c r="P24" s="64"/>
      <c r="Q24" s="64"/>
      <c r="R24" s="64"/>
      <c r="S24" s="67"/>
      <c r="T24" s="64"/>
      <c r="U24" s="64"/>
    </row>
    <row r="25" spans="1:21" s="70" customFormat="1" ht="23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4"/>
      <c r="O25" s="8"/>
      <c r="P25" s="64"/>
      <c r="Q25" s="64"/>
      <c r="R25" s="64"/>
      <c r="S25" s="67"/>
      <c r="T25" s="64"/>
      <c r="U25" s="64"/>
    </row>
    <row r="26" spans="1:21" s="70" customFormat="1" ht="19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64"/>
      <c r="O26" s="64"/>
      <c r="P26" s="64"/>
      <c r="Q26" s="64"/>
      <c r="R26" s="64"/>
      <c r="S26" s="67"/>
      <c r="T26" s="64"/>
      <c r="U26" s="64"/>
    </row>
    <row r="27" spans="1:21" s="57" customFormat="1" ht="39.75">
      <c r="A27" s="28"/>
      <c r="B27" s="28"/>
      <c r="C27" s="28" t="s">
        <v>102</v>
      </c>
      <c r="D27" s="262" t="s">
        <v>27</v>
      </c>
      <c r="E27" s="264"/>
      <c r="F27" s="28">
        <f>COUNTIF(C24:C26,"*")</f>
        <v>0</v>
      </c>
      <c r="G27" s="28"/>
      <c r="H27" s="28"/>
      <c r="I27" s="28">
        <f>COUNTIF(I24:I26,"*")</f>
        <v>0</v>
      </c>
      <c r="J27" s="28">
        <f>COUNTIF(J24:J26,"*")</f>
        <v>0</v>
      </c>
      <c r="K27" s="28">
        <f>SUM(K24:K26)</f>
        <v>0</v>
      </c>
      <c r="L27" s="28">
        <f>SUM(L24:L26)</f>
        <v>0</v>
      </c>
      <c r="M27" s="28">
        <f>SUM(M24:M26)</f>
        <v>0</v>
      </c>
      <c r="N27" s="73"/>
      <c r="O27" s="28">
        <f aca="true" t="shared" si="2" ref="O27:U27">COUNTIF(O24:O26,"*")</f>
        <v>0</v>
      </c>
      <c r="P27" s="28">
        <f t="shared" si="2"/>
        <v>0</v>
      </c>
      <c r="Q27" s="28">
        <f t="shared" si="2"/>
        <v>0</v>
      </c>
      <c r="R27" s="28">
        <f t="shared" si="2"/>
        <v>0</v>
      </c>
      <c r="S27" s="29">
        <f t="shared" si="2"/>
        <v>0</v>
      </c>
      <c r="T27" s="73">
        <f t="shared" si="2"/>
        <v>0</v>
      </c>
      <c r="U27" s="73">
        <f t="shared" si="2"/>
        <v>0</v>
      </c>
    </row>
    <row r="28" spans="1:21" s="57" customFormat="1" ht="50.25" customHeight="1">
      <c r="A28" s="46"/>
      <c r="B28" s="46"/>
      <c r="C28" s="46" t="s">
        <v>94</v>
      </c>
      <c r="D28" s="46"/>
      <c r="E28" s="46"/>
      <c r="F28" s="46">
        <f>Лист3!B16</f>
        <v>6</v>
      </c>
      <c r="G28" s="46"/>
      <c r="H28" s="46"/>
      <c r="I28" s="46">
        <f>Лист3!C16</f>
        <v>2</v>
      </c>
      <c r="J28" s="46">
        <f>Лист3!D16</f>
        <v>1</v>
      </c>
      <c r="K28" s="46">
        <f>Лист3!E16</f>
        <v>6</v>
      </c>
      <c r="L28" s="46">
        <f>Лист3!F16</f>
        <v>69.5</v>
      </c>
      <c r="M28" s="46">
        <f>Лист3!G16</f>
        <v>69.5</v>
      </c>
      <c r="N28" s="75"/>
      <c r="O28" s="75">
        <f>Лист3!H16</f>
        <v>6</v>
      </c>
      <c r="P28" s="75">
        <f>Лист3!I16</f>
        <v>0</v>
      </c>
      <c r="Q28" s="75">
        <f>Лист3!J16</f>
        <v>0</v>
      </c>
      <c r="R28" s="75">
        <f>Лист3!K16</f>
        <v>0</v>
      </c>
      <c r="S28" s="107">
        <f>Лист3!L16</f>
        <v>0</v>
      </c>
      <c r="T28" s="77">
        <f>(T27+T22+T14)</f>
        <v>0</v>
      </c>
      <c r="U28" s="77">
        <f>(U27+U22+U14)</f>
        <v>0</v>
      </c>
    </row>
    <row r="29" spans="1:21" s="26" customFormat="1" ht="25.5" customHeight="1">
      <c r="A29" s="33"/>
      <c r="B29" s="33"/>
      <c r="C29" s="23" t="s">
        <v>95</v>
      </c>
      <c r="D29" s="23"/>
      <c r="E29" s="23"/>
      <c r="F29" s="23"/>
      <c r="G29" s="23"/>
      <c r="H29" s="23" t="s">
        <v>95</v>
      </c>
      <c r="I29" s="23"/>
      <c r="J29" s="23"/>
      <c r="K29" s="23"/>
      <c r="L29" s="23"/>
      <c r="M29" s="23" t="s">
        <v>95</v>
      </c>
      <c r="N29" s="47"/>
      <c r="O29" s="47"/>
      <c r="P29" s="47"/>
      <c r="Q29" s="47"/>
      <c r="R29" s="47"/>
      <c r="S29" s="47"/>
      <c r="T29" s="31"/>
      <c r="U29" s="31"/>
    </row>
    <row r="30" spans="1:21" s="70" customFormat="1" ht="39.75">
      <c r="A30" s="50">
        <v>1</v>
      </c>
      <c r="B30" s="50" t="s">
        <v>774</v>
      </c>
      <c r="C30" s="50" t="s">
        <v>613</v>
      </c>
      <c r="D30" s="50" t="s">
        <v>614</v>
      </c>
      <c r="E30" s="50" t="s">
        <v>615</v>
      </c>
      <c r="F30" s="50" t="s">
        <v>616</v>
      </c>
      <c r="G30" s="50" t="s">
        <v>617</v>
      </c>
      <c r="H30" s="50" t="s">
        <v>503</v>
      </c>
      <c r="I30" s="50"/>
      <c r="J30" s="50"/>
      <c r="K30" s="50">
        <v>1</v>
      </c>
      <c r="L30" s="50">
        <v>46</v>
      </c>
      <c r="M30" s="71">
        <v>42</v>
      </c>
      <c r="N30" s="76" t="s">
        <v>223</v>
      </c>
      <c r="O30" s="76" t="s">
        <v>222</v>
      </c>
      <c r="P30" s="76"/>
      <c r="Q30" s="76"/>
      <c r="R30" s="76"/>
      <c r="S30" s="108"/>
      <c r="T30" s="64"/>
      <c r="U30" s="64"/>
    </row>
    <row r="31" spans="1:21" s="210" customFormat="1" ht="103.5">
      <c r="A31" s="211">
        <v>2</v>
      </c>
      <c r="B31" s="211" t="s">
        <v>774</v>
      </c>
      <c r="C31" s="211" t="s">
        <v>618</v>
      </c>
      <c r="D31" s="211" t="s">
        <v>619</v>
      </c>
      <c r="E31" s="211" t="s">
        <v>620</v>
      </c>
      <c r="F31" s="211" t="s">
        <v>621</v>
      </c>
      <c r="G31" s="211" t="s">
        <v>622</v>
      </c>
      <c r="H31" s="211" t="s">
        <v>623</v>
      </c>
      <c r="I31" s="211"/>
      <c r="J31" s="211"/>
      <c r="K31" s="211">
        <v>2</v>
      </c>
      <c r="L31" s="211">
        <v>32</v>
      </c>
      <c r="M31" s="212">
        <v>30</v>
      </c>
      <c r="N31" s="213" t="s">
        <v>223</v>
      </c>
      <c r="O31" s="213" t="s">
        <v>222</v>
      </c>
      <c r="P31" s="213"/>
      <c r="Q31" s="213"/>
      <c r="R31" s="213"/>
      <c r="S31" s="214"/>
      <c r="T31" s="208"/>
      <c r="U31" s="208"/>
    </row>
    <row r="32" spans="1:21" s="70" customFormat="1" ht="52.5">
      <c r="A32" s="8">
        <v>3</v>
      </c>
      <c r="B32" s="8" t="s">
        <v>774</v>
      </c>
      <c r="C32" s="8" t="s">
        <v>624</v>
      </c>
      <c r="D32" s="8" t="s">
        <v>237</v>
      </c>
      <c r="E32" s="8" t="s">
        <v>625</v>
      </c>
      <c r="F32" s="8" t="s">
        <v>625</v>
      </c>
      <c r="G32" s="8" t="s">
        <v>626</v>
      </c>
      <c r="H32" s="8" t="s">
        <v>221</v>
      </c>
      <c r="I32" s="8"/>
      <c r="J32" s="8" t="s">
        <v>222</v>
      </c>
      <c r="K32" s="8">
        <v>7</v>
      </c>
      <c r="L32" s="8">
        <v>50</v>
      </c>
      <c r="M32" s="65">
        <v>40</v>
      </c>
      <c r="N32" s="64" t="s">
        <v>223</v>
      </c>
      <c r="O32" s="64" t="s">
        <v>222</v>
      </c>
      <c r="P32" s="64"/>
      <c r="Q32" s="64"/>
      <c r="R32" s="64"/>
      <c r="S32" s="67"/>
      <c r="T32" s="64"/>
      <c r="U32" s="64"/>
    </row>
    <row r="33" spans="1:21" s="70" customFormat="1" ht="116.25">
      <c r="A33" s="8">
        <v>4</v>
      </c>
      <c r="B33" s="8" t="s">
        <v>774</v>
      </c>
      <c r="C33" s="8" t="s">
        <v>627</v>
      </c>
      <c r="D33" s="8" t="s">
        <v>237</v>
      </c>
      <c r="E33" s="8" t="s">
        <v>840</v>
      </c>
      <c r="F33" s="8" t="s">
        <v>841</v>
      </c>
      <c r="G33" s="8" t="s">
        <v>617</v>
      </c>
      <c r="H33" s="8" t="s">
        <v>628</v>
      </c>
      <c r="I33" s="8"/>
      <c r="J33" s="8"/>
      <c r="K33" s="8">
        <v>1</v>
      </c>
      <c r="L33" s="8">
        <v>30</v>
      </c>
      <c r="M33" s="65">
        <v>9</v>
      </c>
      <c r="N33" s="64" t="s">
        <v>223</v>
      </c>
      <c r="O33" s="64" t="s">
        <v>222</v>
      </c>
      <c r="P33" s="64"/>
      <c r="Q33" s="64"/>
      <c r="R33" s="64"/>
      <c r="S33" s="67"/>
      <c r="T33" s="64"/>
      <c r="U33" s="64"/>
    </row>
    <row r="34" spans="1:21" s="70" customFormat="1" ht="52.5">
      <c r="A34" s="8">
        <v>5</v>
      </c>
      <c r="B34" s="8" t="s">
        <v>774</v>
      </c>
      <c r="C34" s="8" t="s">
        <v>629</v>
      </c>
      <c r="D34" s="8" t="s">
        <v>630</v>
      </c>
      <c r="E34" s="8" t="s">
        <v>631</v>
      </c>
      <c r="F34" s="8" t="s">
        <v>900</v>
      </c>
      <c r="G34" s="8" t="s">
        <v>915</v>
      </c>
      <c r="H34" s="8" t="s">
        <v>313</v>
      </c>
      <c r="I34" s="8"/>
      <c r="J34" s="8"/>
      <c r="K34" s="8">
        <v>2</v>
      </c>
      <c r="L34" s="8">
        <v>50</v>
      </c>
      <c r="M34" s="65">
        <v>35</v>
      </c>
      <c r="N34" s="64" t="s">
        <v>223</v>
      </c>
      <c r="O34" s="64" t="s">
        <v>222</v>
      </c>
      <c r="P34" s="64"/>
      <c r="Q34" s="64"/>
      <c r="R34" s="64"/>
      <c r="S34" s="67"/>
      <c r="T34" s="64"/>
      <c r="U34" s="64"/>
    </row>
    <row r="35" spans="1:21" s="210" customFormat="1" ht="52.5">
      <c r="A35" s="206">
        <v>6</v>
      </c>
      <c r="B35" s="206" t="s">
        <v>774</v>
      </c>
      <c r="C35" s="206" t="s">
        <v>913</v>
      </c>
      <c r="D35" s="206" t="s">
        <v>237</v>
      </c>
      <c r="E35" s="206" t="s">
        <v>914</v>
      </c>
      <c r="F35" s="206" t="s">
        <v>216</v>
      </c>
      <c r="G35" s="206" t="s">
        <v>877</v>
      </c>
      <c r="H35" s="206" t="s">
        <v>313</v>
      </c>
      <c r="I35" s="206" t="s">
        <v>222</v>
      </c>
      <c r="J35" s="206"/>
      <c r="K35" s="206">
        <v>2</v>
      </c>
      <c r="L35" s="206">
        <v>28</v>
      </c>
      <c r="M35" s="207">
        <v>28</v>
      </c>
      <c r="N35" s="208" t="s">
        <v>223</v>
      </c>
      <c r="O35" s="208" t="s">
        <v>222</v>
      </c>
      <c r="P35" s="208"/>
      <c r="Q35" s="208"/>
      <c r="R35" s="208"/>
      <c r="S35" s="209"/>
      <c r="T35" s="208"/>
      <c r="U35" s="208">
        <v>50</v>
      </c>
    </row>
    <row r="36" spans="1:21" s="70" customFormat="1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5"/>
      <c r="N36" s="64"/>
      <c r="O36" s="64"/>
      <c r="P36" s="64"/>
      <c r="Q36" s="64"/>
      <c r="R36" s="64"/>
      <c r="S36" s="67"/>
      <c r="T36" s="64"/>
      <c r="U36" s="64"/>
    </row>
    <row r="37" spans="1:21" s="57" customFormat="1" ht="39.75">
      <c r="A37" s="28"/>
      <c r="B37" s="28"/>
      <c r="C37" s="28" t="s">
        <v>103</v>
      </c>
      <c r="D37" s="262" t="s">
        <v>27</v>
      </c>
      <c r="E37" s="264"/>
      <c r="F37" s="28">
        <f>COUNTIF(C30:C36,"*")</f>
        <v>6</v>
      </c>
      <c r="G37" s="28"/>
      <c r="H37" s="28"/>
      <c r="I37" s="28">
        <f>COUNTIF(I30:I36,"*")</f>
        <v>1</v>
      </c>
      <c r="J37" s="28">
        <f>COUNTIF(J30:J36,"*")</f>
        <v>1</v>
      </c>
      <c r="K37" s="28">
        <f>SUM(K30:K36)</f>
        <v>15</v>
      </c>
      <c r="L37" s="28">
        <f>SUM(L30:L36)</f>
        <v>236</v>
      </c>
      <c r="M37" s="28">
        <f>SUM(M30:M36)</f>
        <v>184</v>
      </c>
      <c r="N37" s="73"/>
      <c r="O37" s="28">
        <f aca="true" t="shared" si="3" ref="O37:U37">COUNTIF(O30:O36,"*")</f>
        <v>6</v>
      </c>
      <c r="P37" s="28">
        <f t="shared" si="3"/>
        <v>0</v>
      </c>
      <c r="Q37" s="28">
        <f t="shared" si="3"/>
        <v>0</v>
      </c>
      <c r="R37" s="28">
        <f t="shared" si="3"/>
        <v>0</v>
      </c>
      <c r="S37" s="29">
        <f t="shared" si="3"/>
        <v>0</v>
      </c>
      <c r="T37" s="73">
        <f t="shared" si="3"/>
        <v>0</v>
      </c>
      <c r="U37" s="73">
        <f t="shared" si="3"/>
        <v>0</v>
      </c>
    </row>
    <row r="38" spans="1:21" s="26" customFormat="1" ht="18.75">
      <c r="A38" s="27"/>
      <c r="B38" s="27"/>
      <c r="C38" s="48" t="s">
        <v>96</v>
      </c>
      <c r="D38" s="48"/>
      <c r="E38" s="48"/>
      <c r="F38" s="48"/>
      <c r="G38" s="48"/>
      <c r="H38" s="48"/>
      <c r="I38" s="48"/>
      <c r="J38" s="48"/>
      <c r="K38" s="48"/>
      <c r="L38" s="48"/>
      <c r="M38" s="22"/>
      <c r="N38" s="49"/>
      <c r="O38" s="49"/>
      <c r="P38" s="49"/>
      <c r="Q38" s="49"/>
      <c r="R38" s="49"/>
      <c r="S38" s="109"/>
      <c r="T38" s="31"/>
      <c r="U38" s="31"/>
    </row>
    <row r="39" spans="1:21" s="70" customFormat="1" ht="103.5">
      <c r="A39" s="8">
        <v>1</v>
      </c>
      <c r="B39" s="8" t="s">
        <v>774</v>
      </c>
      <c r="C39" s="8" t="s">
        <v>632</v>
      </c>
      <c r="D39" s="8" t="s">
        <v>359</v>
      </c>
      <c r="E39" s="8" t="s">
        <v>633</v>
      </c>
      <c r="F39" s="8" t="s">
        <v>633</v>
      </c>
      <c r="G39" s="8" t="s">
        <v>634</v>
      </c>
      <c r="H39" s="8" t="s">
        <v>635</v>
      </c>
      <c r="I39" s="8"/>
      <c r="J39" s="8"/>
      <c r="K39" s="8">
        <v>1</v>
      </c>
      <c r="L39" s="8">
        <v>24</v>
      </c>
      <c r="M39" s="65">
        <v>24</v>
      </c>
      <c r="N39" s="64" t="s">
        <v>223</v>
      </c>
      <c r="O39" s="64" t="s">
        <v>222</v>
      </c>
      <c r="P39" s="64"/>
      <c r="Q39" s="64"/>
      <c r="R39" s="64"/>
      <c r="S39" s="67"/>
      <c r="T39" s="64"/>
      <c r="U39" s="64"/>
    </row>
    <row r="40" spans="1:21" s="118" customFormat="1" ht="65.25">
      <c r="A40" s="114">
        <v>2</v>
      </c>
      <c r="B40" s="114" t="s">
        <v>774</v>
      </c>
      <c r="C40" s="114" t="s">
        <v>636</v>
      </c>
      <c r="D40" s="114" t="s">
        <v>637</v>
      </c>
      <c r="E40" s="114" t="s">
        <v>875</v>
      </c>
      <c r="F40" s="114" t="s">
        <v>900</v>
      </c>
      <c r="G40" s="114" t="s">
        <v>638</v>
      </c>
      <c r="H40" s="114" t="s">
        <v>221</v>
      </c>
      <c r="I40" s="114"/>
      <c r="J40" s="114"/>
      <c r="K40" s="114">
        <v>2</v>
      </c>
      <c r="L40" s="114">
        <v>52.1</v>
      </c>
      <c r="M40" s="115">
        <v>41</v>
      </c>
      <c r="N40" s="116" t="s">
        <v>223</v>
      </c>
      <c r="O40" s="116" t="s">
        <v>222</v>
      </c>
      <c r="P40" s="116"/>
      <c r="Q40" s="116"/>
      <c r="R40" s="116"/>
      <c r="S40" s="117"/>
      <c r="T40" s="116"/>
      <c r="U40" s="116"/>
    </row>
    <row r="41" spans="1:21" s="210" customFormat="1" ht="65.25">
      <c r="A41" s="206">
        <v>3</v>
      </c>
      <c r="B41" s="206" t="s">
        <v>774</v>
      </c>
      <c r="C41" s="206" t="s">
        <v>639</v>
      </c>
      <c r="D41" s="206" t="s">
        <v>637</v>
      </c>
      <c r="E41" s="206" t="s">
        <v>640</v>
      </c>
      <c r="F41" s="206" t="s">
        <v>900</v>
      </c>
      <c r="G41" s="206" t="s">
        <v>638</v>
      </c>
      <c r="H41" s="206" t="s">
        <v>221</v>
      </c>
      <c r="I41" s="206"/>
      <c r="J41" s="206"/>
      <c r="K41" s="206">
        <v>4</v>
      </c>
      <c r="L41" s="206">
        <v>14.1</v>
      </c>
      <c r="M41" s="207">
        <v>14.1</v>
      </c>
      <c r="N41" s="208" t="s">
        <v>223</v>
      </c>
      <c r="O41" s="208" t="s">
        <v>222</v>
      </c>
      <c r="P41" s="208"/>
      <c r="Q41" s="208"/>
      <c r="R41" s="208"/>
      <c r="S41" s="209"/>
      <c r="T41" s="208"/>
      <c r="U41" s="208"/>
    </row>
    <row r="42" spans="1:21" s="210" customFormat="1" ht="103.5">
      <c r="A42" s="206">
        <v>4</v>
      </c>
      <c r="B42" s="206" t="s">
        <v>774</v>
      </c>
      <c r="C42" s="206" t="s">
        <v>613</v>
      </c>
      <c r="D42" s="206" t="s">
        <v>359</v>
      </c>
      <c r="E42" s="206" t="s">
        <v>641</v>
      </c>
      <c r="F42" s="206" t="s">
        <v>641</v>
      </c>
      <c r="G42" s="206" t="s">
        <v>642</v>
      </c>
      <c r="H42" s="206" t="s">
        <v>623</v>
      </c>
      <c r="I42" s="206"/>
      <c r="J42" s="206"/>
      <c r="K42" s="206">
        <v>1</v>
      </c>
      <c r="L42" s="206">
        <v>9</v>
      </c>
      <c r="M42" s="207">
        <v>9</v>
      </c>
      <c r="N42" s="208" t="s">
        <v>223</v>
      </c>
      <c r="O42" s="208" t="s">
        <v>222</v>
      </c>
      <c r="P42" s="208"/>
      <c r="Q42" s="208"/>
      <c r="R42" s="208"/>
      <c r="S42" s="209"/>
      <c r="T42" s="208"/>
      <c r="U42" s="208"/>
    </row>
    <row r="43" spans="1:21" s="210" customFormat="1" ht="103.5">
      <c r="A43" s="206">
        <v>5</v>
      </c>
      <c r="B43" s="206" t="s">
        <v>774</v>
      </c>
      <c r="C43" s="206" t="s">
        <v>643</v>
      </c>
      <c r="D43" s="206" t="s">
        <v>359</v>
      </c>
      <c r="E43" s="206" t="s">
        <v>644</v>
      </c>
      <c r="F43" s="206" t="s">
        <v>644</v>
      </c>
      <c r="G43" s="206" t="s">
        <v>645</v>
      </c>
      <c r="H43" s="206" t="s">
        <v>635</v>
      </c>
      <c r="I43" s="206"/>
      <c r="J43" s="206"/>
      <c r="K43" s="206">
        <v>1</v>
      </c>
      <c r="L43" s="206">
        <v>18</v>
      </c>
      <c r="M43" s="207">
        <v>18</v>
      </c>
      <c r="N43" s="208" t="s">
        <v>223</v>
      </c>
      <c r="O43" s="208" t="s">
        <v>222</v>
      </c>
      <c r="P43" s="208"/>
      <c r="Q43" s="208"/>
      <c r="R43" s="208"/>
      <c r="S43" s="209"/>
      <c r="T43" s="208"/>
      <c r="U43" s="208"/>
    </row>
    <row r="44" spans="1:21" s="210" customFormat="1" ht="103.5">
      <c r="A44" s="206">
        <v>6</v>
      </c>
      <c r="B44" s="206" t="s">
        <v>774</v>
      </c>
      <c r="C44" s="206" t="s">
        <v>613</v>
      </c>
      <c r="D44" s="206" t="s">
        <v>359</v>
      </c>
      <c r="E44" s="206" t="s">
        <v>646</v>
      </c>
      <c r="F44" s="206" t="s">
        <v>646</v>
      </c>
      <c r="G44" s="206" t="s">
        <v>642</v>
      </c>
      <c r="H44" s="206" t="s">
        <v>623</v>
      </c>
      <c r="I44" s="206"/>
      <c r="J44" s="206"/>
      <c r="K44" s="206">
        <v>1</v>
      </c>
      <c r="L44" s="206">
        <v>12</v>
      </c>
      <c r="M44" s="207">
        <v>12</v>
      </c>
      <c r="N44" s="208" t="s">
        <v>223</v>
      </c>
      <c r="O44" s="208" t="s">
        <v>222</v>
      </c>
      <c r="P44" s="208"/>
      <c r="Q44" s="208"/>
      <c r="R44" s="208"/>
      <c r="S44" s="209"/>
      <c r="T44" s="208"/>
      <c r="U44" s="208"/>
    </row>
    <row r="45" spans="1:21" s="210" customFormat="1" ht="103.5">
      <c r="A45" s="206">
        <v>7</v>
      </c>
      <c r="B45" s="206" t="s">
        <v>774</v>
      </c>
      <c r="C45" s="206" t="s">
        <v>613</v>
      </c>
      <c r="D45" s="206" t="s">
        <v>359</v>
      </c>
      <c r="E45" s="206" t="s">
        <v>647</v>
      </c>
      <c r="F45" s="206" t="s">
        <v>647</v>
      </c>
      <c r="G45" s="206" t="s">
        <v>648</v>
      </c>
      <c r="H45" s="206" t="s">
        <v>623</v>
      </c>
      <c r="I45" s="206"/>
      <c r="J45" s="206"/>
      <c r="K45" s="206">
        <v>2</v>
      </c>
      <c r="L45" s="206">
        <v>21</v>
      </c>
      <c r="M45" s="207">
        <v>17</v>
      </c>
      <c r="N45" s="208" t="s">
        <v>223</v>
      </c>
      <c r="O45" s="208" t="s">
        <v>222</v>
      </c>
      <c r="P45" s="208"/>
      <c r="Q45" s="208"/>
      <c r="R45" s="208"/>
      <c r="S45" s="209"/>
      <c r="T45" s="208"/>
      <c r="U45" s="208"/>
    </row>
    <row r="46" spans="1:21" s="210" customFormat="1" ht="103.5">
      <c r="A46" s="206">
        <v>8</v>
      </c>
      <c r="B46" s="206" t="s">
        <v>774</v>
      </c>
      <c r="C46" s="206" t="s">
        <v>613</v>
      </c>
      <c r="D46" s="206" t="s">
        <v>359</v>
      </c>
      <c r="E46" s="206" t="s">
        <v>453</v>
      </c>
      <c r="F46" s="206" t="s">
        <v>453</v>
      </c>
      <c r="G46" s="206" t="s">
        <v>648</v>
      </c>
      <c r="H46" s="206" t="s">
        <v>623</v>
      </c>
      <c r="I46" s="206"/>
      <c r="J46" s="206"/>
      <c r="K46" s="206">
        <v>1</v>
      </c>
      <c r="L46" s="206">
        <v>21</v>
      </c>
      <c r="M46" s="207">
        <v>17</v>
      </c>
      <c r="N46" s="208" t="s">
        <v>223</v>
      </c>
      <c r="O46" s="208" t="s">
        <v>222</v>
      </c>
      <c r="P46" s="208"/>
      <c r="Q46" s="208"/>
      <c r="R46" s="208"/>
      <c r="S46" s="209"/>
      <c r="T46" s="208"/>
      <c r="U46" s="208"/>
    </row>
    <row r="47" spans="1:21" s="210" customFormat="1" ht="103.5">
      <c r="A47" s="206">
        <v>9</v>
      </c>
      <c r="B47" s="206" t="s">
        <v>774</v>
      </c>
      <c r="C47" s="206" t="s">
        <v>613</v>
      </c>
      <c r="D47" s="206" t="s">
        <v>359</v>
      </c>
      <c r="E47" s="206" t="s">
        <v>649</v>
      </c>
      <c r="F47" s="206" t="s">
        <v>649</v>
      </c>
      <c r="G47" s="206" t="s">
        <v>650</v>
      </c>
      <c r="H47" s="206" t="s">
        <v>651</v>
      </c>
      <c r="I47" s="206"/>
      <c r="J47" s="206"/>
      <c r="K47" s="206">
        <v>2</v>
      </c>
      <c r="L47" s="206">
        <v>8</v>
      </c>
      <c r="M47" s="207">
        <v>8</v>
      </c>
      <c r="N47" s="208" t="s">
        <v>223</v>
      </c>
      <c r="O47" s="208" t="s">
        <v>222</v>
      </c>
      <c r="P47" s="208"/>
      <c r="Q47" s="208"/>
      <c r="R47" s="208"/>
      <c r="S47" s="209"/>
      <c r="T47" s="208"/>
      <c r="U47" s="208"/>
    </row>
    <row r="48" spans="1:21" s="210" customFormat="1" ht="103.5">
      <c r="A48" s="206">
        <v>10</v>
      </c>
      <c r="B48" s="206" t="s">
        <v>774</v>
      </c>
      <c r="C48" s="206" t="s">
        <v>652</v>
      </c>
      <c r="D48" s="206" t="s">
        <v>359</v>
      </c>
      <c r="E48" s="206" t="s">
        <v>644</v>
      </c>
      <c r="F48" s="206" t="s">
        <v>644</v>
      </c>
      <c r="G48" s="206" t="s">
        <v>653</v>
      </c>
      <c r="H48" s="206" t="s">
        <v>651</v>
      </c>
      <c r="I48" s="206"/>
      <c r="J48" s="206"/>
      <c r="K48" s="206">
        <v>2</v>
      </c>
      <c r="L48" s="206">
        <v>30</v>
      </c>
      <c r="M48" s="207">
        <v>20</v>
      </c>
      <c r="N48" s="208" t="s">
        <v>223</v>
      </c>
      <c r="O48" s="208" t="s">
        <v>222</v>
      </c>
      <c r="P48" s="208"/>
      <c r="Q48" s="208"/>
      <c r="R48" s="208"/>
      <c r="S48" s="209"/>
      <c r="T48" s="208"/>
      <c r="U48" s="208"/>
    </row>
    <row r="49" spans="1:21" s="210" customFormat="1" ht="103.5">
      <c r="A49" s="206">
        <v>11</v>
      </c>
      <c r="B49" s="206" t="s">
        <v>774</v>
      </c>
      <c r="C49" s="206" t="s">
        <v>654</v>
      </c>
      <c r="D49" s="206" t="s">
        <v>359</v>
      </c>
      <c r="E49" s="206" t="s">
        <v>366</v>
      </c>
      <c r="F49" s="206" t="s">
        <v>366</v>
      </c>
      <c r="G49" s="206" t="s">
        <v>655</v>
      </c>
      <c r="H49" s="206" t="s">
        <v>651</v>
      </c>
      <c r="I49" s="206"/>
      <c r="J49" s="206"/>
      <c r="K49" s="206">
        <v>1</v>
      </c>
      <c r="L49" s="206">
        <v>36</v>
      </c>
      <c r="M49" s="207">
        <v>36</v>
      </c>
      <c r="N49" s="208" t="s">
        <v>223</v>
      </c>
      <c r="O49" s="208" t="s">
        <v>222</v>
      </c>
      <c r="P49" s="208"/>
      <c r="Q49" s="208"/>
      <c r="R49" s="208"/>
      <c r="S49" s="209"/>
      <c r="T49" s="208"/>
      <c r="U49" s="208"/>
    </row>
    <row r="50" spans="1:21" s="210" customFormat="1" ht="103.5">
      <c r="A50" s="206">
        <v>12</v>
      </c>
      <c r="B50" s="206" t="s">
        <v>774</v>
      </c>
      <c r="C50" s="206" t="s">
        <v>656</v>
      </c>
      <c r="D50" s="206" t="s">
        <v>359</v>
      </c>
      <c r="E50" s="206" t="s">
        <v>657</v>
      </c>
      <c r="F50" s="206" t="s">
        <v>657</v>
      </c>
      <c r="G50" s="206" t="s">
        <v>658</v>
      </c>
      <c r="H50" s="206" t="s">
        <v>651</v>
      </c>
      <c r="I50" s="206"/>
      <c r="J50" s="206"/>
      <c r="K50" s="206">
        <v>1</v>
      </c>
      <c r="L50" s="206">
        <v>24</v>
      </c>
      <c r="M50" s="207">
        <v>24</v>
      </c>
      <c r="N50" s="208" t="s">
        <v>223</v>
      </c>
      <c r="O50" s="208" t="s">
        <v>222</v>
      </c>
      <c r="P50" s="208"/>
      <c r="Q50" s="208"/>
      <c r="R50" s="208"/>
      <c r="S50" s="209"/>
      <c r="T50" s="208"/>
      <c r="U50" s="208"/>
    </row>
    <row r="51" spans="1:21" s="210" customFormat="1" ht="52.5">
      <c r="A51" s="206">
        <v>13</v>
      </c>
      <c r="B51" s="206" t="s">
        <v>774</v>
      </c>
      <c r="C51" s="206" t="s">
        <v>659</v>
      </c>
      <c r="D51" s="206" t="s">
        <v>630</v>
      </c>
      <c r="E51" s="206" t="s">
        <v>660</v>
      </c>
      <c r="F51" s="206" t="s">
        <v>900</v>
      </c>
      <c r="G51" s="206" t="s">
        <v>661</v>
      </c>
      <c r="H51" s="206" t="s">
        <v>503</v>
      </c>
      <c r="I51" s="206"/>
      <c r="J51" s="206"/>
      <c r="K51" s="206">
        <v>3</v>
      </c>
      <c r="L51" s="206">
        <v>30</v>
      </c>
      <c r="M51" s="207">
        <v>23</v>
      </c>
      <c r="N51" s="208" t="s">
        <v>223</v>
      </c>
      <c r="O51" s="208" t="s">
        <v>222</v>
      </c>
      <c r="P51" s="208"/>
      <c r="Q51" s="208"/>
      <c r="R51" s="208"/>
      <c r="S51" s="209"/>
      <c r="T51" s="208"/>
      <c r="U51" s="208"/>
    </row>
    <row r="52" spans="1:21" s="70" customFormat="1" ht="65.25">
      <c r="A52" s="8">
        <v>14</v>
      </c>
      <c r="B52" s="8" t="s">
        <v>774</v>
      </c>
      <c r="C52" s="8" t="s">
        <v>857</v>
      </c>
      <c r="D52" s="8" t="s">
        <v>870</v>
      </c>
      <c r="E52" s="8" t="s">
        <v>873</v>
      </c>
      <c r="F52" s="8" t="s">
        <v>216</v>
      </c>
      <c r="G52" s="8" t="s">
        <v>638</v>
      </c>
      <c r="H52" s="8" t="s">
        <v>868</v>
      </c>
      <c r="I52" s="8"/>
      <c r="J52" s="8"/>
      <c r="K52" s="8">
        <v>2</v>
      </c>
      <c r="L52" s="8">
        <v>30</v>
      </c>
      <c r="M52" s="65">
        <v>18</v>
      </c>
      <c r="N52" s="64" t="s">
        <v>223</v>
      </c>
      <c r="O52" s="64" t="s">
        <v>222</v>
      </c>
      <c r="P52" s="64"/>
      <c r="Q52" s="64"/>
      <c r="R52" s="64"/>
      <c r="S52" s="67"/>
      <c r="T52" s="64"/>
      <c r="U52" s="64"/>
    </row>
    <row r="53" spans="1:21" s="70" customFormat="1" ht="65.25">
      <c r="A53" s="8">
        <v>15</v>
      </c>
      <c r="B53" s="8" t="s">
        <v>774</v>
      </c>
      <c r="C53" s="8" t="s">
        <v>872</v>
      </c>
      <c r="D53" s="8" t="s">
        <v>870</v>
      </c>
      <c r="E53" s="8" t="s">
        <v>871</v>
      </c>
      <c r="F53" s="8" t="s">
        <v>216</v>
      </c>
      <c r="G53" s="8" t="s">
        <v>638</v>
      </c>
      <c r="H53" s="8" t="s">
        <v>868</v>
      </c>
      <c r="I53" s="8"/>
      <c r="J53" s="8"/>
      <c r="K53" s="8">
        <v>2</v>
      </c>
      <c r="L53" s="8">
        <v>30</v>
      </c>
      <c r="M53" s="65">
        <v>18</v>
      </c>
      <c r="N53" s="64" t="s">
        <v>223</v>
      </c>
      <c r="O53" s="64" t="s">
        <v>222</v>
      </c>
      <c r="P53" s="64"/>
      <c r="Q53" s="64"/>
      <c r="R53" s="64"/>
      <c r="S53" s="67"/>
      <c r="T53" s="64"/>
      <c r="U53" s="64"/>
    </row>
    <row r="54" spans="1:21" s="70" customFormat="1" ht="192.75">
      <c r="A54" s="8">
        <v>16</v>
      </c>
      <c r="B54" s="8" t="s">
        <v>774</v>
      </c>
      <c r="C54" s="8" t="s">
        <v>866</v>
      </c>
      <c r="D54" s="8" t="s">
        <v>870</v>
      </c>
      <c r="E54" s="8" t="s">
        <v>874</v>
      </c>
      <c r="F54" s="8" t="s">
        <v>216</v>
      </c>
      <c r="G54" s="8" t="s">
        <v>867</v>
      </c>
      <c r="H54" s="8" t="s">
        <v>869</v>
      </c>
      <c r="I54" s="8"/>
      <c r="J54" s="8"/>
      <c r="K54" s="8">
        <v>1</v>
      </c>
      <c r="L54" s="8">
        <v>30</v>
      </c>
      <c r="M54" s="65">
        <v>18</v>
      </c>
      <c r="N54" s="64" t="s">
        <v>223</v>
      </c>
      <c r="O54" s="64" t="s">
        <v>222</v>
      </c>
      <c r="P54" s="64"/>
      <c r="Q54" s="64"/>
      <c r="R54" s="64"/>
      <c r="S54" s="67"/>
      <c r="T54" s="64"/>
      <c r="U54" s="64">
        <v>150</v>
      </c>
    </row>
    <row r="55" spans="1:21" s="210" customFormat="1" ht="78">
      <c r="A55" s="206">
        <v>17</v>
      </c>
      <c r="B55" s="206" t="s">
        <v>778</v>
      </c>
      <c r="C55" s="206" t="s">
        <v>920</v>
      </c>
      <c r="D55" s="206" t="s">
        <v>917</v>
      </c>
      <c r="E55" s="206" t="s">
        <v>921</v>
      </c>
      <c r="F55" s="206" t="s">
        <v>921</v>
      </c>
      <c r="G55" s="206" t="s">
        <v>922</v>
      </c>
      <c r="H55" s="206" t="s">
        <v>886</v>
      </c>
      <c r="I55" s="206" t="s">
        <v>222</v>
      </c>
      <c r="J55" s="206"/>
      <c r="K55" s="206">
        <v>1</v>
      </c>
      <c r="L55" s="206">
        <v>25</v>
      </c>
      <c r="M55" s="207">
        <v>18</v>
      </c>
      <c r="N55" s="208" t="s">
        <v>223</v>
      </c>
      <c r="O55" s="208" t="s">
        <v>222</v>
      </c>
      <c r="P55" s="208"/>
      <c r="Q55" s="208"/>
      <c r="R55" s="208"/>
      <c r="S55" s="209"/>
      <c r="T55" s="208"/>
      <c r="U55" s="208"/>
    </row>
    <row r="56" spans="1:21" s="70" customFormat="1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5"/>
      <c r="N56" s="64"/>
      <c r="O56" s="64"/>
      <c r="P56" s="64"/>
      <c r="Q56" s="64"/>
      <c r="R56" s="64"/>
      <c r="S56" s="67"/>
      <c r="T56" s="64"/>
      <c r="U56" s="64"/>
    </row>
    <row r="57" spans="1:21" s="57" customFormat="1" ht="39.75">
      <c r="A57" s="28"/>
      <c r="B57" s="28"/>
      <c r="C57" s="28" t="s">
        <v>104</v>
      </c>
      <c r="D57" s="262" t="s">
        <v>27</v>
      </c>
      <c r="E57" s="264"/>
      <c r="F57" s="28">
        <f>COUNTIF(C39:C56,"*")</f>
        <v>17</v>
      </c>
      <c r="G57" s="28"/>
      <c r="H57" s="28"/>
      <c r="I57" s="28">
        <f>COUNTIF(I39:I56,"*")</f>
        <v>1</v>
      </c>
      <c r="J57" s="28">
        <f>COUNTIF(J39:J56,"*")</f>
        <v>0</v>
      </c>
      <c r="K57" s="28">
        <f>SUM(K39:K56)</f>
        <v>28</v>
      </c>
      <c r="L57" s="28">
        <f>SUM(L39:L56)</f>
        <v>414.2</v>
      </c>
      <c r="M57" s="28">
        <f>SUM(M39:M56)</f>
        <v>335.1</v>
      </c>
      <c r="N57" s="73"/>
      <c r="O57" s="28">
        <f aca="true" t="shared" si="4" ref="O57:U57">COUNTIF(O39:O56,"*")</f>
        <v>17</v>
      </c>
      <c r="P57" s="28">
        <f t="shared" si="4"/>
        <v>0</v>
      </c>
      <c r="Q57" s="28">
        <f t="shared" si="4"/>
        <v>0</v>
      </c>
      <c r="R57" s="28">
        <f t="shared" si="4"/>
        <v>0</v>
      </c>
      <c r="S57" s="29">
        <f t="shared" si="4"/>
        <v>0</v>
      </c>
      <c r="T57" s="73">
        <f t="shared" si="4"/>
        <v>0</v>
      </c>
      <c r="U57" s="73">
        <f t="shared" si="4"/>
        <v>0</v>
      </c>
    </row>
    <row r="58" spans="1:21" s="26" customFormat="1" ht="18.75">
      <c r="A58" s="27"/>
      <c r="B58" s="27"/>
      <c r="C58" s="48" t="s">
        <v>97</v>
      </c>
      <c r="D58" s="48"/>
      <c r="E58" s="48"/>
      <c r="F58" s="48"/>
      <c r="G58" s="48" t="s">
        <v>97</v>
      </c>
      <c r="H58" s="48"/>
      <c r="I58" s="48"/>
      <c r="J58" s="48"/>
      <c r="K58" s="48"/>
      <c r="L58" s="48"/>
      <c r="M58" s="22"/>
      <c r="N58" s="48" t="s">
        <v>97</v>
      </c>
      <c r="O58" s="49"/>
      <c r="P58" s="49"/>
      <c r="Q58" s="49"/>
      <c r="R58" s="49"/>
      <c r="S58" s="109"/>
      <c r="T58" s="31"/>
      <c r="U58" s="31"/>
    </row>
    <row r="59" spans="1:21" s="70" customFormat="1" ht="63.75" customHeight="1">
      <c r="A59" s="50">
        <v>1</v>
      </c>
      <c r="B59" s="50" t="s">
        <v>788</v>
      </c>
      <c r="C59" s="50" t="s">
        <v>632</v>
      </c>
      <c r="D59" s="50" t="s">
        <v>662</v>
      </c>
      <c r="E59" s="50" t="s">
        <v>663</v>
      </c>
      <c r="F59" s="50"/>
      <c r="G59" s="50" t="s">
        <v>664</v>
      </c>
      <c r="H59" s="50" t="s">
        <v>341</v>
      </c>
      <c r="I59" s="50"/>
      <c r="J59" s="50"/>
      <c r="K59" s="50">
        <v>1</v>
      </c>
      <c r="L59" s="50">
        <v>18</v>
      </c>
      <c r="M59" s="71">
        <v>16</v>
      </c>
      <c r="N59" s="76" t="s">
        <v>223</v>
      </c>
      <c r="O59" s="76" t="s">
        <v>222</v>
      </c>
      <c r="P59" s="76"/>
      <c r="Q59" s="76"/>
      <c r="R59" s="76"/>
      <c r="S59" s="108"/>
      <c r="T59" s="64"/>
      <c r="U59" s="64"/>
    </row>
    <row r="60" spans="1:21" s="70" customFormat="1" ht="18.75" hidden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71"/>
      <c r="N60" s="76"/>
      <c r="O60" s="76"/>
      <c r="P60" s="76"/>
      <c r="Q60" s="76"/>
      <c r="R60" s="76"/>
      <c r="S60" s="108"/>
      <c r="T60" s="64"/>
      <c r="U60" s="64"/>
    </row>
    <row r="61" spans="1:21" s="70" customFormat="1" ht="65.25">
      <c r="A61" s="8">
        <v>2</v>
      </c>
      <c r="B61" s="8" t="s">
        <v>782</v>
      </c>
      <c r="C61" s="50" t="s">
        <v>632</v>
      </c>
      <c r="D61" s="8" t="s">
        <v>924</v>
      </c>
      <c r="E61" s="8" t="s">
        <v>923</v>
      </c>
      <c r="F61" s="8" t="s">
        <v>923</v>
      </c>
      <c r="G61" s="8" t="s">
        <v>664</v>
      </c>
      <c r="H61" s="8" t="s">
        <v>341</v>
      </c>
      <c r="I61" s="8" t="s">
        <v>222</v>
      </c>
      <c r="J61" s="8"/>
      <c r="K61" s="8">
        <v>1</v>
      </c>
      <c r="L61" s="8">
        <v>20</v>
      </c>
      <c r="M61" s="65">
        <v>18</v>
      </c>
      <c r="N61" s="64" t="s">
        <v>223</v>
      </c>
      <c r="O61" s="64" t="s">
        <v>222</v>
      </c>
      <c r="P61" s="64"/>
      <c r="Q61" s="64"/>
      <c r="R61" s="64"/>
      <c r="S61" s="67"/>
      <c r="T61" s="64"/>
      <c r="U61" s="64">
        <v>80</v>
      </c>
    </row>
    <row r="62" spans="1:21" s="70" customFormat="1" ht="65.25">
      <c r="A62" s="8">
        <v>3</v>
      </c>
      <c r="B62" s="8" t="s">
        <v>775</v>
      </c>
      <c r="C62" s="8" t="s">
        <v>627</v>
      </c>
      <c r="D62" s="8" t="s">
        <v>925</v>
      </c>
      <c r="E62" s="8" t="s">
        <v>926</v>
      </c>
      <c r="F62" s="8" t="s">
        <v>926</v>
      </c>
      <c r="G62" s="8" t="s">
        <v>664</v>
      </c>
      <c r="H62" s="8" t="s">
        <v>313</v>
      </c>
      <c r="I62" s="8" t="s">
        <v>222</v>
      </c>
      <c r="J62" s="8"/>
      <c r="K62" s="8">
        <v>1</v>
      </c>
      <c r="L62" s="8">
        <v>20</v>
      </c>
      <c r="M62" s="65">
        <v>15</v>
      </c>
      <c r="N62" s="64" t="s">
        <v>223</v>
      </c>
      <c r="O62" s="64" t="s">
        <v>222</v>
      </c>
      <c r="P62" s="64"/>
      <c r="Q62" s="64"/>
      <c r="R62" s="64"/>
      <c r="S62" s="67"/>
      <c r="T62" s="64"/>
      <c r="U62" s="64">
        <v>70</v>
      </c>
    </row>
    <row r="63" spans="1:21" s="70" customFormat="1" ht="18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65"/>
      <c r="N63" s="64"/>
      <c r="O63" s="64"/>
      <c r="P63" s="64"/>
      <c r="Q63" s="64"/>
      <c r="R63" s="64"/>
      <c r="S63" s="67"/>
      <c r="T63" s="64"/>
      <c r="U63" s="64"/>
    </row>
    <row r="64" spans="1:21" s="57" customFormat="1" ht="41.25" customHeight="1">
      <c r="A64" s="73"/>
      <c r="B64" s="73"/>
      <c r="C64" s="28" t="s">
        <v>105</v>
      </c>
      <c r="D64" s="262" t="s">
        <v>27</v>
      </c>
      <c r="E64" s="263"/>
      <c r="F64" s="28">
        <f>COUNTIF(C59:C63,"*")</f>
        <v>3</v>
      </c>
      <c r="G64" s="73"/>
      <c r="H64" s="28"/>
      <c r="I64" s="28">
        <f>COUNTIF(I59:I63,"*")</f>
        <v>2</v>
      </c>
      <c r="J64" s="28">
        <f>COUNTIF(J59:J63,"*")</f>
        <v>0</v>
      </c>
      <c r="K64" s="28">
        <f>SUM(K59:K63)</f>
        <v>3</v>
      </c>
      <c r="L64" s="28">
        <f>SUM(L59:L63)</f>
        <v>58</v>
      </c>
      <c r="M64" s="28">
        <f>SUM(M59:M63)</f>
        <v>49</v>
      </c>
      <c r="N64" s="28"/>
      <c r="O64" s="28">
        <f aca="true" t="shared" si="5" ref="O64:U64">COUNTIF(O59:O63,"*")</f>
        <v>3</v>
      </c>
      <c r="P64" s="28">
        <f t="shared" si="5"/>
        <v>0</v>
      </c>
      <c r="Q64" s="28">
        <f t="shared" si="5"/>
        <v>0</v>
      </c>
      <c r="R64" s="28">
        <f t="shared" si="5"/>
        <v>0</v>
      </c>
      <c r="S64" s="29">
        <f t="shared" si="5"/>
        <v>0</v>
      </c>
      <c r="T64" s="73">
        <f t="shared" si="5"/>
        <v>0</v>
      </c>
      <c r="U64" s="73">
        <f t="shared" si="5"/>
        <v>0</v>
      </c>
    </row>
    <row r="65" spans="1:21" s="57" customFormat="1" ht="27">
      <c r="A65" s="77"/>
      <c r="B65" s="77"/>
      <c r="C65" s="78" t="s">
        <v>99</v>
      </c>
      <c r="D65" s="77"/>
      <c r="E65" s="77"/>
      <c r="F65" s="77">
        <f>Лист3!B20</f>
        <v>26</v>
      </c>
      <c r="G65" s="77"/>
      <c r="H65" s="77"/>
      <c r="I65" s="77">
        <f>Лист3!C20</f>
        <v>4</v>
      </c>
      <c r="J65" s="77">
        <f>Лист3!D20</f>
        <v>1</v>
      </c>
      <c r="K65" s="77">
        <f>Лист3!E20</f>
        <v>46</v>
      </c>
      <c r="L65" s="77">
        <f>Лист3!F20</f>
        <v>708.2</v>
      </c>
      <c r="M65" s="77">
        <f>Лист3!G20</f>
        <v>568.1</v>
      </c>
      <c r="N65" s="77"/>
      <c r="O65" s="77">
        <f>Лист3!H20</f>
        <v>26</v>
      </c>
      <c r="P65" s="77">
        <f>Лист3!I20</f>
        <v>0</v>
      </c>
      <c r="Q65" s="77">
        <f>Лист3!J20</f>
        <v>0</v>
      </c>
      <c r="R65" s="77">
        <f>Лист3!K20</f>
        <v>0</v>
      </c>
      <c r="S65" s="110">
        <f>Лист3!L20</f>
        <v>0</v>
      </c>
      <c r="T65" s="77">
        <f>(T64+T57+T37)</f>
        <v>0</v>
      </c>
      <c r="U65" s="77">
        <f>(U64+U57+U37)</f>
        <v>0</v>
      </c>
    </row>
  </sheetData>
  <sheetProtection password="CC61" sheet="1" formatCells="0" formatColumns="0" formatRows="0" insertRows="0" deleteRows="0" autoFilter="0"/>
  <mergeCells count="29">
    <mergeCell ref="R6:S7"/>
    <mergeCell ref="I5:I8"/>
    <mergeCell ref="L5:M5"/>
    <mergeCell ref="L6:L8"/>
    <mergeCell ref="K5:K8"/>
    <mergeCell ref="M6:M8"/>
    <mergeCell ref="O5:S5"/>
    <mergeCell ref="O6:O8"/>
    <mergeCell ref="J5:J8"/>
    <mergeCell ref="N5:N8"/>
    <mergeCell ref="B2:M2"/>
    <mergeCell ref="B3:M3"/>
    <mergeCell ref="B5:B8"/>
    <mergeCell ref="C5:C8"/>
    <mergeCell ref="D5:D8"/>
    <mergeCell ref="E5:E8"/>
    <mergeCell ref="F5:F8"/>
    <mergeCell ref="G5:G8"/>
    <mergeCell ref="B4:K4"/>
    <mergeCell ref="T5:U7"/>
    <mergeCell ref="A5:A8"/>
    <mergeCell ref="H5:H8"/>
    <mergeCell ref="D64:E64"/>
    <mergeCell ref="D22:E22"/>
    <mergeCell ref="D14:E14"/>
    <mergeCell ref="D27:E27"/>
    <mergeCell ref="D37:E37"/>
    <mergeCell ref="D57:E57"/>
    <mergeCell ref="P6:Q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11"/>
  <sheetViews>
    <sheetView view="pageBreakPreview" zoomScaleSheetLayoutView="100" zoomScalePageLayoutView="0" workbookViewId="0" topLeftCell="A1">
      <selection activeCell="A10" sqref="A10:IV10"/>
    </sheetView>
  </sheetViews>
  <sheetFormatPr defaultColWidth="9.140625" defaultRowHeight="15"/>
  <cols>
    <col min="1" max="1" width="4.140625" style="1" customWidth="1"/>
    <col min="2" max="2" width="15.7109375" style="1" customWidth="1"/>
    <col min="3" max="3" width="13.421875" style="1" customWidth="1"/>
    <col min="4" max="4" width="13.8515625" style="1" customWidth="1"/>
    <col min="5" max="5" width="18.7109375" style="1" customWidth="1"/>
    <col min="6" max="6" width="13.57421875" style="1" customWidth="1"/>
    <col min="7" max="7" width="9.8515625" style="1" customWidth="1"/>
    <col min="8" max="8" width="12.8515625" style="1" customWidth="1"/>
    <col min="9" max="9" width="8.00390625" style="1" customWidth="1"/>
    <col min="10" max="10" width="10.140625" style="1" customWidth="1"/>
    <col min="11" max="12" width="9.140625" style="1" customWidth="1"/>
    <col min="13" max="13" width="8.7109375" style="1" customWidth="1"/>
    <col min="14" max="14" width="13.7109375" style="1" customWidth="1"/>
    <col min="15" max="15" width="10.57421875" style="1" customWidth="1"/>
    <col min="16" max="16" width="12.00390625" style="1" customWidth="1"/>
    <col min="17" max="17" width="10.28125" style="1" customWidth="1"/>
    <col min="18" max="19" width="9.140625" style="1" customWidth="1"/>
    <col min="20" max="20" width="12.421875" style="1" customWidth="1"/>
    <col min="21" max="21" width="10.7109375" style="1" customWidth="1"/>
    <col min="22" max="16384" width="9.140625" style="1" customWidth="1"/>
  </cols>
  <sheetData>
    <row r="1" spans="1:10" ht="18.75">
      <c r="A1" s="3"/>
      <c r="B1" s="3"/>
      <c r="C1" s="3"/>
      <c r="D1" s="3"/>
      <c r="E1" s="3"/>
      <c r="F1" s="3"/>
      <c r="G1" s="3"/>
      <c r="H1" s="4"/>
      <c r="I1" s="4"/>
      <c r="J1" s="5"/>
    </row>
    <row r="2" spans="1:10" ht="18" customHeight="1">
      <c r="A2" s="265" t="s">
        <v>109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23.25" customHeight="1">
      <c r="A3" s="275" t="s">
        <v>173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8.75" customHeight="1">
      <c r="A4" s="229" t="s">
        <v>901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22" s="26" customFormat="1" ht="26.25" customHeight="1">
      <c r="A5" s="225" t="s">
        <v>1</v>
      </c>
      <c r="B5" s="225" t="s">
        <v>110</v>
      </c>
      <c r="C5" s="225" t="s">
        <v>111</v>
      </c>
      <c r="D5" s="225" t="s">
        <v>183</v>
      </c>
      <c r="E5" s="225" t="s">
        <v>195</v>
      </c>
      <c r="F5" s="225" t="s">
        <v>112</v>
      </c>
      <c r="G5" s="225" t="s">
        <v>2</v>
      </c>
      <c r="H5" s="225" t="s">
        <v>113</v>
      </c>
      <c r="I5" s="242" t="s">
        <v>4</v>
      </c>
      <c r="J5" s="242"/>
      <c r="K5" s="222" t="s">
        <v>191</v>
      </c>
      <c r="L5" s="266" t="s">
        <v>192</v>
      </c>
      <c r="M5" s="266"/>
      <c r="N5" s="266"/>
      <c r="O5" s="266"/>
      <c r="P5" s="266"/>
      <c r="Q5" s="266"/>
      <c r="R5" s="276" t="s">
        <v>193</v>
      </c>
      <c r="S5" s="277"/>
      <c r="T5" s="277"/>
      <c r="U5" s="277"/>
      <c r="V5" s="277"/>
    </row>
    <row r="6" spans="1:22" s="26" customFormat="1" ht="39" customHeight="1">
      <c r="A6" s="226"/>
      <c r="B6" s="226"/>
      <c r="C6" s="226"/>
      <c r="D6" s="226"/>
      <c r="E6" s="226"/>
      <c r="F6" s="226"/>
      <c r="G6" s="226"/>
      <c r="H6" s="226"/>
      <c r="I6" s="278" t="s">
        <v>5</v>
      </c>
      <c r="J6" s="278" t="s">
        <v>114</v>
      </c>
      <c r="K6" s="223"/>
      <c r="L6" s="225" t="s">
        <v>7</v>
      </c>
      <c r="M6" s="225" t="s">
        <v>115</v>
      </c>
      <c r="N6" s="225" t="s">
        <v>194</v>
      </c>
      <c r="O6" s="266" t="s">
        <v>118</v>
      </c>
      <c r="P6" s="266"/>
      <c r="Q6" s="272" t="s">
        <v>119</v>
      </c>
      <c r="R6" s="266" t="s">
        <v>120</v>
      </c>
      <c r="S6" s="266" t="s">
        <v>121</v>
      </c>
      <c r="T6" s="266" t="s">
        <v>122</v>
      </c>
      <c r="U6" s="272" t="s">
        <v>123</v>
      </c>
      <c r="V6" s="222" t="s">
        <v>124</v>
      </c>
    </row>
    <row r="7" spans="1:22" s="26" customFormat="1" ht="39" customHeight="1">
      <c r="A7" s="227"/>
      <c r="B7" s="227"/>
      <c r="C7" s="227"/>
      <c r="D7" s="227"/>
      <c r="E7" s="227"/>
      <c r="F7" s="227"/>
      <c r="G7" s="227"/>
      <c r="H7" s="227"/>
      <c r="I7" s="278"/>
      <c r="J7" s="278"/>
      <c r="K7" s="224"/>
      <c r="L7" s="227"/>
      <c r="M7" s="227"/>
      <c r="N7" s="227"/>
      <c r="O7" s="42" t="s">
        <v>116</v>
      </c>
      <c r="P7" s="43" t="s">
        <v>117</v>
      </c>
      <c r="Q7" s="274"/>
      <c r="R7" s="266"/>
      <c r="S7" s="266"/>
      <c r="T7" s="266"/>
      <c r="U7" s="274"/>
      <c r="V7" s="224"/>
    </row>
    <row r="8" spans="1:22" s="26" customFormat="1" ht="18.75">
      <c r="A8" s="18">
        <v>1</v>
      </c>
      <c r="B8" s="56">
        <v>2</v>
      </c>
      <c r="C8" s="56">
        <v>3</v>
      </c>
      <c r="D8" s="18">
        <v>4</v>
      </c>
      <c r="E8" s="56">
        <v>5</v>
      </c>
      <c r="F8" s="56">
        <v>6</v>
      </c>
      <c r="G8" s="18">
        <v>7</v>
      </c>
      <c r="H8" s="56">
        <v>8</v>
      </c>
      <c r="I8" s="18">
        <v>9</v>
      </c>
      <c r="J8" s="56">
        <v>10</v>
      </c>
      <c r="K8" s="18">
        <v>11</v>
      </c>
      <c r="L8" s="56">
        <v>12</v>
      </c>
      <c r="M8" s="18">
        <v>13</v>
      </c>
      <c r="N8" s="56">
        <v>14</v>
      </c>
      <c r="O8" s="18">
        <v>15</v>
      </c>
      <c r="P8" s="56">
        <v>16</v>
      </c>
      <c r="Q8" s="56">
        <v>17</v>
      </c>
      <c r="R8" s="18">
        <v>18</v>
      </c>
      <c r="S8" s="56">
        <v>19</v>
      </c>
      <c r="T8" s="18">
        <v>20</v>
      </c>
      <c r="U8" s="56">
        <v>21</v>
      </c>
      <c r="V8" s="18">
        <v>22</v>
      </c>
    </row>
    <row r="9" spans="1:22" s="79" customFormat="1" ht="18.75">
      <c r="A9" s="52"/>
      <c r="B9" s="52"/>
      <c r="C9" s="52"/>
      <c r="D9" s="52"/>
      <c r="E9" s="52"/>
      <c r="F9" s="52"/>
      <c r="G9" s="52"/>
      <c r="H9" s="52"/>
      <c r="I9" s="52"/>
      <c r="J9" s="52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s="79" customFormat="1" ht="18.75">
      <c r="A10" s="52"/>
      <c r="B10" s="53"/>
      <c r="C10" s="53"/>
      <c r="D10" s="53"/>
      <c r="E10" s="52"/>
      <c r="F10" s="52"/>
      <c r="G10" s="52"/>
      <c r="H10" s="52"/>
      <c r="I10" s="52"/>
      <c r="J10" s="55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57" customFormat="1" ht="18.75">
      <c r="A11" s="73"/>
      <c r="B11" s="28" t="s">
        <v>106</v>
      </c>
      <c r="C11" s="73">
        <f>COUNTIF(B9:B10,"*")</f>
        <v>0</v>
      </c>
      <c r="D11" s="73"/>
      <c r="E11" s="73"/>
      <c r="F11" s="73"/>
      <c r="G11" s="73"/>
      <c r="H11" s="73">
        <f>SUM(H9:H10)</f>
        <v>0</v>
      </c>
      <c r="I11" s="73">
        <f>SUM(I9:I10)</f>
        <v>0</v>
      </c>
      <c r="J11" s="73">
        <f>SUM(J9:J10)</f>
        <v>0</v>
      </c>
      <c r="K11" s="73"/>
      <c r="L11" s="73">
        <f aca="true" t="shared" si="0" ref="L11:V11">SUM(L9:L10)</f>
        <v>0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3">
        <f t="shared" si="0"/>
        <v>0</v>
      </c>
      <c r="Q11" s="73">
        <f t="shared" si="0"/>
        <v>0</v>
      </c>
      <c r="R11" s="73">
        <f t="shared" si="0"/>
        <v>0</v>
      </c>
      <c r="S11" s="73">
        <f t="shared" si="0"/>
        <v>0</v>
      </c>
      <c r="T11" s="73">
        <f t="shared" si="0"/>
        <v>0</v>
      </c>
      <c r="U11" s="73">
        <f t="shared" si="0"/>
        <v>0</v>
      </c>
      <c r="V11" s="73">
        <f t="shared" si="0"/>
        <v>0</v>
      </c>
    </row>
  </sheetData>
  <sheetProtection password="CC61" sheet="1" formatCells="0" formatColumns="0" formatRows="0" insertRows="0" deleteRows="0"/>
  <mergeCells count="27">
    <mergeCell ref="R6:R7"/>
    <mergeCell ref="S6:S7"/>
    <mergeCell ref="H5:H7"/>
    <mergeCell ref="I5:J5"/>
    <mergeCell ref="K5:K7"/>
    <mergeCell ref="I6:I7"/>
    <mergeCell ref="J6:J7"/>
    <mergeCell ref="U6:U7"/>
    <mergeCell ref="R5:V5"/>
    <mergeCell ref="V6:V7"/>
    <mergeCell ref="L6:L7"/>
    <mergeCell ref="N6:N7"/>
    <mergeCell ref="T6:T7"/>
    <mergeCell ref="O6:P6"/>
    <mergeCell ref="M6:M7"/>
    <mergeCell ref="L5:Q5"/>
    <mergeCell ref="Q6:Q7"/>
    <mergeCell ref="A2:J2"/>
    <mergeCell ref="A3:J3"/>
    <mergeCell ref="A4:J4"/>
    <mergeCell ref="A5:A7"/>
    <mergeCell ref="B5:B7"/>
    <mergeCell ref="C5:C7"/>
    <mergeCell ref="D5:D7"/>
    <mergeCell ref="E5:E7"/>
    <mergeCell ref="F5:F7"/>
    <mergeCell ref="G5:G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3"/>
  <sheetViews>
    <sheetView view="pageBreakPreview" zoomScaleSheetLayoutView="100" zoomScalePageLayoutView="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0" sqref="S10"/>
    </sheetView>
  </sheetViews>
  <sheetFormatPr defaultColWidth="9.140625" defaultRowHeight="15"/>
  <cols>
    <col min="1" max="1" width="4.140625" style="6" customWidth="1"/>
    <col min="2" max="2" width="15.7109375" style="6" customWidth="1"/>
    <col min="3" max="3" width="13.421875" style="6" customWidth="1"/>
    <col min="4" max="4" width="13.8515625" style="6" customWidth="1"/>
    <col min="5" max="5" width="14.28125" style="6" customWidth="1"/>
    <col min="6" max="7" width="13.28125" style="6" customWidth="1"/>
    <col min="8" max="8" width="14.28125" style="6" customWidth="1"/>
    <col min="9" max="9" width="7.57421875" style="6" customWidth="1"/>
    <col min="10" max="10" width="7.140625" style="6" customWidth="1"/>
    <col min="11" max="11" width="8.00390625" style="6" customWidth="1"/>
    <col min="12" max="12" width="10.140625" style="6" customWidth="1"/>
    <col min="13" max="13" width="9.140625" style="6" customWidth="1"/>
    <col min="14" max="14" width="8.7109375" style="6" customWidth="1"/>
    <col min="15" max="15" width="13.7109375" style="6" customWidth="1"/>
    <col min="16" max="16" width="10.57421875" style="6" customWidth="1"/>
    <col min="17" max="17" width="12.00390625" style="6" customWidth="1"/>
    <col min="18" max="18" width="10.7109375" style="6" customWidth="1"/>
    <col min="19" max="20" width="9.140625" style="6" customWidth="1"/>
    <col min="21" max="21" width="12.421875" style="6" customWidth="1"/>
    <col min="22" max="22" width="10.7109375" style="6" customWidth="1"/>
    <col min="23" max="16384" width="9.140625" style="6" customWidth="1"/>
  </cols>
  <sheetData>
    <row r="1" spans="1:12" ht="18.75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1"/>
    </row>
    <row r="2" spans="1:12" ht="18" customHeight="1">
      <c r="A2" s="279" t="s">
        <v>125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23.25" customHeight="1">
      <c r="A3" s="221" t="s">
        <v>665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8.75" customHeight="1">
      <c r="A4" s="93"/>
      <c r="B4" s="229" t="s">
        <v>901</v>
      </c>
      <c r="C4" s="229"/>
      <c r="D4" s="229"/>
      <c r="E4" s="229"/>
      <c r="F4" s="229"/>
      <c r="G4" s="229"/>
      <c r="H4" s="229"/>
      <c r="I4" s="229"/>
      <c r="J4" s="229"/>
      <c r="K4" s="229"/>
      <c r="L4" s="93"/>
    </row>
    <row r="5" spans="1:23" ht="26.25" customHeight="1">
      <c r="A5" s="225" t="s">
        <v>1</v>
      </c>
      <c r="B5" s="225" t="s">
        <v>179</v>
      </c>
      <c r="C5" s="225" t="s">
        <v>126</v>
      </c>
      <c r="D5" s="225" t="s">
        <v>129</v>
      </c>
      <c r="E5" s="225" t="s">
        <v>127</v>
      </c>
      <c r="F5" s="225" t="s">
        <v>128</v>
      </c>
      <c r="G5" s="225" t="s">
        <v>182</v>
      </c>
      <c r="H5" s="225" t="s">
        <v>130</v>
      </c>
      <c r="I5" s="225" t="s">
        <v>2</v>
      </c>
      <c r="J5" s="225" t="s">
        <v>113</v>
      </c>
      <c r="K5" s="242" t="s">
        <v>4</v>
      </c>
      <c r="L5" s="242"/>
      <c r="M5" s="266" t="s">
        <v>192</v>
      </c>
      <c r="N5" s="266"/>
      <c r="O5" s="266"/>
      <c r="P5" s="266"/>
      <c r="Q5" s="266"/>
      <c r="R5" s="266"/>
      <c r="S5" s="276" t="s">
        <v>193</v>
      </c>
      <c r="T5" s="277"/>
      <c r="U5" s="277"/>
      <c r="V5" s="277"/>
      <c r="W5" s="277"/>
    </row>
    <row r="6" spans="1:23" ht="39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78" t="s">
        <v>5</v>
      </c>
      <c r="L6" s="278" t="s">
        <v>114</v>
      </c>
      <c r="M6" s="225" t="s">
        <v>7</v>
      </c>
      <c r="N6" s="225" t="s">
        <v>115</v>
      </c>
      <c r="O6" s="225" t="s">
        <v>194</v>
      </c>
      <c r="P6" s="266" t="s">
        <v>118</v>
      </c>
      <c r="Q6" s="266"/>
      <c r="R6" s="272" t="s">
        <v>119</v>
      </c>
      <c r="S6" s="266" t="s">
        <v>120</v>
      </c>
      <c r="T6" s="266" t="s">
        <v>121</v>
      </c>
      <c r="U6" s="266" t="s">
        <v>122</v>
      </c>
      <c r="V6" s="272" t="s">
        <v>123</v>
      </c>
      <c r="W6" s="222" t="s">
        <v>124</v>
      </c>
    </row>
    <row r="7" spans="1:23" ht="39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78"/>
      <c r="L7" s="278"/>
      <c r="M7" s="227"/>
      <c r="N7" s="227"/>
      <c r="O7" s="227"/>
      <c r="P7" s="42" t="s">
        <v>116</v>
      </c>
      <c r="Q7" s="43" t="s">
        <v>117</v>
      </c>
      <c r="R7" s="274"/>
      <c r="S7" s="266"/>
      <c r="T7" s="266"/>
      <c r="U7" s="266"/>
      <c r="V7" s="274"/>
      <c r="W7" s="224"/>
    </row>
    <row r="8" spans="1:23" ht="18.75">
      <c r="A8" s="18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>
        <v>17</v>
      </c>
      <c r="R8" s="56">
        <v>18</v>
      </c>
      <c r="S8" s="56">
        <v>19</v>
      </c>
      <c r="T8" s="56">
        <v>20</v>
      </c>
      <c r="U8" s="56">
        <v>21</v>
      </c>
      <c r="V8" s="56">
        <v>22</v>
      </c>
      <c r="W8" s="56">
        <v>23</v>
      </c>
    </row>
    <row r="9" spans="1:23" s="70" customFormat="1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s="70" customFormat="1" ht="103.5">
      <c r="A10" s="62">
        <v>1</v>
      </c>
      <c r="B10" s="63" t="s">
        <v>667</v>
      </c>
      <c r="C10" s="63" t="s">
        <v>668</v>
      </c>
      <c r="D10" s="63" t="s">
        <v>669</v>
      </c>
      <c r="E10" s="62" t="s">
        <v>670</v>
      </c>
      <c r="F10" s="62" t="s">
        <v>902</v>
      </c>
      <c r="G10" s="62" t="s">
        <v>813</v>
      </c>
      <c r="H10" s="62" t="s">
        <v>813</v>
      </c>
      <c r="I10" s="62" t="s">
        <v>666</v>
      </c>
      <c r="J10" s="62">
        <v>6</v>
      </c>
      <c r="K10" s="62">
        <v>15002</v>
      </c>
      <c r="L10" s="81">
        <v>6300</v>
      </c>
      <c r="M10" s="80">
        <v>147</v>
      </c>
      <c r="N10" s="80">
        <v>0</v>
      </c>
      <c r="O10" s="80">
        <v>7</v>
      </c>
      <c r="P10" s="80">
        <v>85</v>
      </c>
      <c r="Q10" s="80">
        <v>62</v>
      </c>
      <c r="R10" s="80">
        <v>31</v>
      </c>
      <c r="S10" s="80">
        <v>4248</v>
      </c>
      <c r="T10" s="80">
        <v>4054</v>
      </c>
      <c r="U10" s="80">
        <v>930</v>
      </c>
      <c r="V10" s="80">
        <v>361</v>
      </c>
      <c r="W10" s="80">
        <v>194</v>
      </c>
    </row>
    <row r="11" spans="1:23" s="70" customFormat="1" ht="18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s="70" customFormat="1" ht="18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8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57" customFormat="1" ht="18.75">
      <c r="A13" s="73"/>
      <c r="B13" s="28" t="s">
        <v>106</v>
      </c>
      <c r="C13" s="73">
        <f>COUNTIF(B9:B12,"*")</f>
        <v>1</v>
      </c>
      <c r="D13" s="73"/>
      <c r="E13" s="73"/>
      <c r="F13" s="73"/>
      <c r="G13" s="73"/>
      <c r="H13" s="73"/>
      <c r="I13" s="73"/>
      <c r="J13" s="73">
        <f aca="true" t="shared" si="0" ref="J13:W13">SUM(J9:J12)</f>
        <v>6</v>
      </c>
      <c r="K13" s="73">
        <f t="shared" si="0"/>
        <v>15002</v>
      </c>
      <c r="L13" s="73">
        <f t="shared" si="0"/>
        <v>6300</v>
      </c>
      <c r="M13" s="73">
        <f t="shared" si="0"/>
        <v>147</v>
      </c>
      <c r="N13" s="73">
        <f t="shared" si="0"/>
        <v>0</v>
      </c>
      <c r="O13" s="73">
        <f t="shared" si="0"/>
        <v>7</v>
      </c>
      <c r="P13" s="73">
        <f t="shared" si="0"/>
        <v>85</v>
      </c>
      <c r="Q13" s="73">
        <f t="shared" si="0"/>
        <v>62</v>
      </c>
      <c r="R13" s="73">
        <f t="shared" si="0"/>
        <v>31</v>
      </c>
      <c r="S13" s="73">
        <f t="shared" si="0"/>
        <v>4248</v>
      </c>
      <c r="T13" s="73">
        <f t="shared" si="0"/>
        <v>4054</v>
      </c>
      <c r="U13" s="73">
        <f t="shared" si="0"/>
        <v>930</v>
      </c>
      <c r="V13" s="73">
        <f t="shared" si="0"/>
        <v>361</v>
      </c>
      <c r="W13" s="73">
        <f t="shared" si="0"/>
        <v>194</v>
      </c>
    </row>
  </sheetData>
  <sheetProtection password="CC61" sheet="1" formatCells="0" formatColumns="0" formatRows="0" insertRows="0"/>
  <mergeCells count="28">
    <mergeCell ref="A2:L2"/>
    <mergeCell ref="A3:L3"/>
    <mergeCell ref="A5:A7"/>
    <mergeCell ref="B5:B7"/>
    <mergeCell ref="C5:C7"/>
    <mergeCell ref="D5:D7"/>
    <mergeCell ref="E5:E7"/>
    <mergeCell ref="F5:F7"/>
    <mergeCell ref="I5:I7"/>
    <mergeCell ref="L6:L7"/>
    <mergeCell ref="M6:M7"/>
    <mergeCell ref="N6:N7"/>
    <mergeCell ref="O6:O7"/>
    <mergeCell ref="P6:Q6"/>
    <mergeCell ref="W6:W7"/>
    <mergeCell ref="U6:U7"/>
    <mergeCell ref="V6:V7"/>
    <mergeCell ref="T6:T7"/>
    <mergeCell ref="B4:K4"/>
    <mergeCell ref="R6:R7"/>
    <mergeCell ref="S6:S7"/>
    <mergeCell ref="K5:L5"/>
    <mergeCell ref="M5:R5"/>
    <mergeCell ref="S5:W5"/>
    <mergeCell ref="K6:K7"/>
    <mergeCell ref="J5:J7"/>
    <mergeCell ref="G5:G7"/>
    <mergeCell ref="H5:H7"/>
  </mergeCell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4">
      <pane ySplit="6" topLeftCell="A30" activePane="bottomLeft" state="frozen"/>
      <selection pane="topLeft" activeCell="A4" sqref="A4"/>
      <selection pane="bottomLeft" activeCell="F33" sqref="F33"/>
    </sheetView>
  </sheetViews>
  <sheetFormatPr defaultColWidth="9.140625" defaultRowHeight="15"/>
  <cols>
    <col min="1" max="1" width="4.7109375" style="0" customWidth="1"/>
    <col min="2" max="2" width="10.421875" style="0" customWidth="1"/>
    <col min="13" max="13" width="10.8515625" style="0" customWidth="1"/>
    <col min="14" max="15" width="10.7109375" style="0" customWidth="1"/>
    <col min="17" max="17" width="11.421875" style="0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254"/>
      <c r="O1" s="254"/>
      <c r="P1" s="254"/>
      <c r="Q1" s="254"/>
    </row>
    <row r="2" spans="1:17" ht="18.75">
      <c r="A2" s="255" t="s">
        <v>200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1"/>
      <c r="O2" s="11"/>
      <c r="P2" s="11"/>
      <c r="Q2" s="11"/>
    </row>
    <row r="3" spans="1:17" ht="18.75">
      <c r="A3" s="221" t="s">
        <v>199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6"/>
      <c r="O3" s="6"/>
      <c r="P3" s="6"/>
      <c r="Q3" s="6"/>
    </row>
    <row r="4" spans="1:17" ht="18.75">
      <c r="A4" s="229" t="s">
        <v>901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11"/>
      <c r="O4" s="11"/>
      <c r="P4" s="11"/>
      <c r="Q4" s="11"/>
    </row>
    <row r="5" spans="1:19" ht="15" customHeight="1">
      <c r="A5" s="225" t="s">
        <v>1</v>
      </c>
      <c r="B5" s="225" t="s">
        <v>69</v>
      </c>
      <c r="C5" s="225" t="s">
        <v>82</v>
      </c>
      <c r="D5" s="225" t="s">
        <v>175</v>
      </c>
      <c r="E5" s="225" t="s">
        <v>70</v>
      </c>
      <c r="F5" s="225" t="s">
        <v>72</v>
      </c>
      <c r="G5" s="225" t="s">
        <v>178</v>
      </c>
      <c r="H5" s="225" t="s">
        <v>176</v>
      </c>
      <c r="I5" s="225" t="s">
        <v>2</v>
      </c>
      <c r="J5" s="283" t="s">
        <v>80</v>
      </c>
      <c r="K5" s="246" t="s">
        <v>201</v>
      </c>
      <c r="L5" s="286"/>
      <c r="M5" s="225" t="s">
        <v>185</v>
      </c>
      <c r="N5" s="225" t="s">
        <v>76</v>
      </c>
      <c r="O5" s="225" t="s">
        <v>78</v>
      </c>
      <c r="P5" s="225" t="s">
        <v>79</v>
      </c>
      <c r="Q5" s="280" t="s">
        <v>174</v>
      </c>
      <c r="R5" s="215" t="s">
        <v>209</v>
      </c>
      <c r="S5" s="216"/>
    </row>
    <row r="6" spans="1:19" ht="15" customHeight="1">
      <c r="A6" s="226"/>
      <c r="B6" s="226"/>
      <c r="C6" s="226"/>
      <c r="D6" s="226"/>
      <c r="E6" s="226"/>
      <c r="F6" s="226"/>
      <c r="G6" s="226"/>
      <c r="H6" s="226"/>
      <c r="I6" s="226"/>
      <c r="J6" s="284"/>
      <c r="K6" s="222" t="s">
        <v>205</v>
      </c>
      <c r="L6" s="222" t="s">
        <v>204</v>
      </c>
      <c r="M6" s="226"/>
      <c r="N6" s="226"/>
      <c r="O6" s="226"/>
      <c r="P6" s="226"/>
      <c r="Q6" s="281"/>
      <c r="R6" s="217"/>
      <c r="S6" s="218"/>
    </row>
    <row r="7" spans="1:19" ht="15">
      <c r="A7" s="226"/>
      <c r="B7" s="226"/>
      <c r="C7" s="226"/>
      <c r="D7" s="226"/>
      <c r="E7" s="226"/>
      <c r="F7" s="226"/>
      <c r="G7" s="226"/>
      <c r="H7" s="226"/>
      <c r="I7" s="226"/>
      <c r="J7" s="284"/>
      <c r="K7" s="223"/>
      <c r="L7" s="223"/>
      <c r="M7" s="226"/>
      <c r="N7" s="226"/>
      <c r="O7" s="226"/>
      <c r="P7" s="226"/>
      <c r="Q7" s="281"/>
      <c r="R7" s="219"/>
      <c r="S7" s="220"/>
    </row>
    <row r="8" spans="1:19" ht="132">
      <c r="A8" s="227"/>
      <c r="B8" s="227"/>
      <c r="C8" s="227"/>
      <c r="D8" s="227"/>
      <c r="E8" s="227"/>
      <c r="F8" s="227"/>
      <c r="G8" s="227"/>
      <c r="H8" s="227"/>
      <c r="I8" s="227"/>
      <c r="J8" s="285"/>
      <c r="K8" s="224"/>
      <c r="L8" s="224"/>
      <c r="M8" s="227"/>
      <c r="N8" s="227"/>
      <c r="O8" s="227"/>
      <c r="P8" s="227"/>
      <c r="Q8" s="282"/>
      <c r="R8" s="111" t="s">
        <v>210</v>
      </c>
      <c r="S8" s="111" t="s">
        <v>211</v>
      </c>
    </row>
    <row r="9" spans="1:19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9">
        <v>16</v>
      </c>
      <c r="Q9" s="20">
        <v>17</v>
      </c>
      <c r="R9" s="18">
        <v>18</v>
      </c>
      <c r="S9" s="18">
        <v>19</v>
      </c>
    </row>
    <row r="10" spans="1:19" ht="78">
      <c r="A10" s="7">
        <v>1</v>
      </c>
      <c r="B10" s="8"/>
      <c r="C10" s="8" t="s">
        <v>676</v>
      </c>
      <c r="D10" s="8"/>
      <c r="E10" s="8" t="s">
        <v>677</v>
      </c>
      <c r="F10" s="8"/>
      <c r="G10" s="8" t="s">
        <v>678</v>
      </c>
      <c r="H10" s="8" t="s">
        <v>678</v>
      </c>
      <c r="I10" s="8" t="s">
        <v>679</v>
      </c>
      <c r="J10" s="8"/>
      <c r="K10" s="8"/>
      <c r="L10" s="8" t="s">
        <v>222</v>
      </c>
      <c r="M10" s="8">
        <v>1</v>
      </c>
      <c r="N10" s="64" t="s">
        <v>680</v>
      </c>
      <c r="O10" s="64" t="s">
        <v>681</v>
      </c>
      <c r="P10" s="64" t="s">
        <v>222</v>
      </c>
      <c r="Q10" s="64"/>
      <c r="R10" s="104"/>
      <c r="S10" s="104"/>
    </row>
    <row r="11" spans="1:19" ht="78">
      <c r="A11" s="7">
        <v>2</v>
      </c>
      <c r="B11" s="8"/>
      <c r="C11" s="8" t="s">
        <v>676</v>
      </c>
      <c r="D11" s="8"/>
      <c r="E11" s="8" t="s">
        <v>677</v>
      </c>
      <c r="F11" s="8"/>
      <c r="G11" s="8" t="s">
        <v>678</v>
      </c>
      <c r="H11" s="8" t="s">
        <v>678</v>
      </c>
      <c r="I11" s="8" t="s">
        <v>679</v>
      </c>
      <c r="J11" s="8"/>
      <c r="K11" s="8"/>
      <c r="L11" s="8" t="s">
        <v>222</v>
      </c>
      <c r="M11" s="8">
        <v>1</v>
      </c>
      <c r="N11" s="64" t="s">
        <v>680</v>
      </c>
      <c r="O11" s="64" t="s">
        <v>681</v>
      </c>
      <c r="P11" s="64" t="s">
        <v>222</v>
      </c>
      <c r="Q11" s="64"/>
      <c r="R11" s="104"/>
      <c r="S11" s="104"/>
    </row>
    <row r="12" spans="1:19" ht="18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4"/>
      <c r="O12" s="64"/>
      <c r="P12" s="64"/>
      <c r="Q12" s="64"/>
      <c r="R12" s="104"/>
      <c r="S12" s="104"/>
    </row>
    <row r="13" spans="1:19" ht="52.5">
      <c r="A13" s="7">
        <v>3</v>
      </c>
      <c r="B13" s="8"/>
      <c r="C13" s="8" t="s">
        <v>683</v>
      </c>
      <c r="D13" s="8"/>
      <c r="E13" s="8" t="s">
        <v>684</v>
      </c>
      <c r="F13" s="8"/>
      <c r="G13" s="8" t="s">
        <v>685</v>
      </c>
      <c r="H13" s="8" t="s">
        <v>685</v>
      </c>
      <c r="I13" s="8" t="s">
        <v>686</v>
      </c>
      <c r="J13" s="8"/>
      <c r="K13" s="8" t="s">
        <v>222</v>
      </c>
      <c r="L13" s="8"/>
      <c r="M13" s="8">
        <v>2</v>
      </c>
      <c r="N13" s="64" t="s">
        <v>680</v>
      </c>
      <c r="O13" s="64" t="s">
        <v>682</v>
      </c>
      <c r="P13" s="64"/>
      <c r="Q13" s="64"/>
      <c r="R13" s="104"/>
      <c r="S13" s="104"/>
    </row>
    <row r="14" spans="1:19" ht="116.25">
      <c r="A14" s="7">
        <v>4</v>
      </c>
      <c r="B14" s="8" t="s">
        <v>688</v>
      </c>
      <c r="C14" s="8" t="s">
        <v>689</v>
      </c>
      <c r="D14" s="8"/>
      <c r="E14" s="8" t="s">
        <v>690</v>
      </c>
      <c r="F14" s="8" t="s">
        <v>691</v>
      </c>
      <c r="G14" s="8" t="s">
        <v>692</v>
      </c>
      <c r="H14" s="8" t="s">
        <v>693</v>
      </c>
      <c r="I14" s="8" t="s">
        <v>695</v>
      </c>
      <c r="J14" s="8"/>
      <c r="K14" s="8" t="s">
        <v>222</v>
      </c>
      <c r="L14" s="8"/>
      <c r="M14" s="8">
        <v>1</v>
      </c>
      <c r="N14" s="64" t="s">
        <v>680</v>
      </c>
      <c r="O14" s="64" t="s">
        <v>681</v>
      </c>
      <c r="P14" s="64" t="s">
        <v>222</v>
      </c>
      <c r="Q14" s="64"/>
      <c r="R14" s="104"/>
      <c r="S14" s="104"/>
    </row>
    <row r="15" spans="1:19" ht="116.25">
      <c r="A15" s="7">
        <v>5</v>
      </c>
      <c r="B15" s="8" t="s">
        <v>687</v>
      </c>
      <c r="C15" s="8" t="s">
        <v>694</v>
      </c>
      <c r="D15" s="8"/>
      <c r="E15" s="8" t="s">
        <v>688</v>
      </c>
      <c r="F15" s="8" t="s">
        <v>689</v>
      </c>
      <c r="G15" s="8" t="s">
        <v>693</v>
      </c>
      <c r="H15" s="8" t="s">
        <v>727</v>
      </c>
      <c r="I15" s="8" t="s">
        <v>729</v>
      </c>
      <c r="J15" s="8"/>
      <c r="K15" s="8" t="s">
        <v>222</v>
      </c>
      <c r="L15" s="8"/>
      <c r="M15" s="8">
        <v>1</v>
      </c>
      <c r="N15" s="64" t="s">
        <v>680</v>
      </c>
      <c r="O15" s="64" t="s">
        <v>681</v>
      </c>
      <c r="P15" s="64" t="s">
        <v>222</v>
      </c>
      <c r="Q15" s="64"/>
      <c r="R15" s="104"/>
      <c r="S15" s="104"/>
    </row>
    <row r="16" spans="1:19" ht="116.25">
      <c r="A16" s="7">
        <v>6</v>
      </c>
      <c r="B16" s="8" t="s">
        <v>696</v>
      </c>
      <c r="C16" s="8" t="s">
        <v>697</v>
      </c>
      <c r="D16" s="8"/>
      <c r="E16" s="8" t="s">
        <v>688</v>
      </c>
      <c r="F16" s="8" t="s">
        <v>698</v>
      </c>
      <c r="G16" s="8" t="s">
        <v>699</v>
      </c>
      <c r="H16" s="8" t="s">
        <v>728</v>
      </c>
      <c r="I16" s="8" t="s">
        <v>729</v>
      </c>
      <c r="J16" s="8"/>
      <c r="K16" s="8" t="s">
        <v>222</v>
      </c>
      <c r="L16" s="8"/>
      <c r="M16" s="8">
        <v>1</v>
      </c>
      <c r="N16" s="64" t="s">
        <v>680</v>
      </c>
      <c r="O16" s="64" t="s">
        <v>681</v>
      </c>
      <c r="P16" s="64" t="s">
        <v>222</v>
      </c>
      <c r="Q16" s="64"/>
      <c r="R16" s="104"/>
      <c r="S16" s="104"/>
    </row>
    <row r="17" spans="1:19" ht="116.25">
      <c r="A17" s="7">
        <v>7</v>
      </c>
      <c r="B17" s="8" t="s">
        <v>700</v>
      </c>
      <c r="C17" s="8" t="s">
        <v>701</v>
      </c>
      <c r="D17" s="8"/>
      <c r="E17" s="8" t="s">
        <v>688</v>
      </c>
      <c r="F17" s="8" t="s">
        <v>702</v>
      </c>
      <c r="G17" s="8" t="s">
        <v>703</v>
      </c>
      <c r="H17" s="8" t="s">
        <v>730</v>
      </c>
      <c r="I17" s="8" t="s">
        <v>729</v>
      </c>
      <c r="J17" s="8"/>
      <c r="K17" s="8" t="s">
        <v>222</v>
      </c>
      <c r="L17" s="8"/>
      <c r="M17" s="8">
        <v>1</v>
      </c>
      <c r="N17" s="64" t="s">
        <v>680</v>
      </c>
      <c r="O17" s="64" t="s">
        <v>681</v>
      </c>
      <c r="P17" s="113" t="s">
        <v>222</v>
      </c>
      <c r="Q17" s="64"/>
      <c r="R17" s="104"/>
      <c r="S17" s="104"/>
    </row>
    <row r="18" spans="1:19" ht="116.25">
      <c r="A18" s="7">
        <v>8</v>
      </c>
      <c r="B18" s="8" t="s">
        <v>704</v>
      </c>
      <c r="C18" s="8" t="s">
        <v>705</v>
      </c>
      <c r="D18" s="8"/>
      <c r="E18" s="8" t="s">
        <v>688</v>
      </c>
      <c r="F18" s="8" t="s">
        <v>706</v>
      </c>
      <c r="G18" s="8" t="s">
        <v>707</v>
      </c>
      <c r="H18" s="8" t="s">
        <v>731</v>
      </c>
      <c r="I18" s="8" t="s">
        <v>729</v>
      </c>
      <c r="J18" s="8"/>
      <c r="K18" s="8" t="s">
        <v>222</v>
      </c>
      <c r="L18" s="8"/>
      <c r="M18" s="8">
        <v>1</v>
      </c>
      <c r="N18" s="64" t="s">
        <v>680</v>
      </c>
      <c r="O18" s="64" t="s">
        <v>681</v>
      </c>
      <c r="P18" s="64" t="s">
        <v>222</v>
      </c>
      <c r="Q18" s="64"/>
      <c r="R18" s="104"/>
      <c r="S18" s="104"/>
    </row>
    <row r="19" spans="1:19" ht="116.25">
      <c r="A19" s="7">
        <v>9</v>
      </c>
      <c r="B19" s="8" t="s">
        <v>708</v>
      </c>
      <c r="C19" s="8" t="s">
        <v>710</v>
      </c>
      <c r="D19" s="8"/>
      <c r="E19" s="8" t="s">
        <v>688</v>
      </c>
      <c r="F19" s="8" t="s">
        <v>706</v>
      </c>
      <c r="G19" s="8" t="s">
        <v>707</v>
      </c>
      <c r="H19" s="8" t="s">
        <v>732</v>
      </c>
      <c r="I19" s="8" t="s">
        <v>729</v>
      </c>
      <c r="J19" s="8"/>
      <c r="K19" s="8" t="s">
        <v>222</v>
      </c>
      <c r="L19" s="8"/>
      <c r="M19" s="8">
        <v>1</v>
      </c>
      <c r="N19" s="64" t="s">
        <v>680</v>
      </c>
      <c r="O19" s="64" t="s">
        <v>681</v>
      </c>
      <c r="P19" s="64" t="s">
        <v>222</v>
      </c>
      <c r="Q19" s="64"/>
      <c r="R19" s="104"/>
      <c r="S19" s="104"/>
    </row>
    <row r="20" spans="1:19" ht="116.25">
      <c r="A20" s="7">
        <v>10</v>
      </c>
      <c r="B20" s="8" t="s">
        <v>709</v>
      </c>
      <c r="C20" s="8" t="s">
        <v>724</v>
      </c>
      <c r="D20" s="8"/>
      <c r="E20" s="8" t="s">
        <v>688</v>
      </c>
      <c r="F20" s="8" t="s">
        <v>706</v>
      </c>
      <c r="G20" s="8" t="s">
        <v>707</v>
      </c>
      <c r="H20" s="8" t="s">
        <v>733</v>
      </c>
      <c r="I20" s="8" t="s">
        <v>729</v>
      </c>
      <c r="J20" s="8"/>
      <c r="K20" s="8" t="s">
        <v>222</v>
      </c>
      <c r="L20" s="8"/>
      <c r="M20" s="8">
        <v>1</v>
      </c>
      <c r="N20" s="64" t="s">
        <v>680</v>
      </c>
      <c r="O20" s="64" t="s">
        <v>681</v>
      </c>
      <c r="P20" s="64" t="s">
        <v>222</v>
      </c>
      <c r="Q20" s="64"/>
      <c r="R20" s="104"/>
      <c r="S20" s="104"/>
    </row>
    <row r="21" spans="1:19" ht="116.25">
      <c r="A21" s="7">
        <v>11</v>
      </c>
      <c r="B21" s="8" t="s">
        <v>711</v>
      </c>
      <c r="C21" s="8" t="s">
        <v>717</v>
      </c>
      <c r="D21" s="8"/>
      <c r="E21" s="8" t="s">
        <v>688</v>
      </c>
      <c r="F21" s="8" t="s">
        <v>706</v>
      </c>
      <c r="G21" s="8" t="s">
        <v>707</v>
      </c>
      <c r="H21" s="8" t="s">
        <v>736</v>
      </c>
      <c r="I21" s="8" t="s">
        <v>729</v>
      </c>
      <c r="J21" s="8"/>
      <c r="K21" s="8" t="s">
        <v>222</v>
      </c>
      <c r="L21" s="8"/>
      <c r="M21" s="8">
        <v>1</v>
      </c>
      <c r="N21" s="64" t="s">
        <v>680</v>
      </c>
      <c r="O21" s="64" t="s">
        <v>681</v>
      </c>
      <c r="P21" s="64" t="s">
        <v>222</v>
      </c>
      <c r="Q21" s="64"/>
      <c r="R21" s="104"/>
      <c r="S21" s="104"/>
    </row>
    <row r="22" spans="1:19" ht="116.25">
      <c r="A22" s="7">
        <v>12</v>
      </c>
      <c r="B22" s="8" t="s">
        <v>712</v>
      </c>
      <c r="C22" s="8" t="s">
        <v>718</v>
      </c>
      <c r="D22" s="8"/>
      <c r="E22" s="8" t="s">
        <v>688</v>
      </c>
      <c r="F22" s="8" t="s">
        <v>706</v>
      </c>
      <c r="G22" s="8" t="s">
        <v>707</v>
      </c>
      <c r="H22" s="8" t="s">
        <v>737</v>
      </c>
      <c r="I22" s="8" t="s">
        <v>729</v>
      </c>
      <c r="J22" s="8"/>
      <c r="K22" s="8" t="s">
        <v>222</v>
      </c>
      <c r="L22" s="8"/>
      <c r="M22" s="8">
        <v>1</v>
      </c>
      <c r="N22" s="64" t="s">
        <v>680</v>
      </c>
      <c r="O22" s="64" t="s">
        <v>681</v>
      </c>
      <c r="P22" s="64" t="s">
        <v>222</v>
      </c>
      <c r="Q22" s="64"/>
      <c r="R22" s="104"/>
      <c r="S22" s="104"/>
    </row>
    <row r="23" spans="1:19" ht="116.25">
      <c r="A23" s="7">
        <v>13</v>
      </c>
      <c r="B23" s="8" t="s">
        <v>713</v>
      </c>
      <c r="C23" s="8" t="s">
        <v>719</v>
      </c>
      <c r="D23" s="8"/>
      <c r="E23" s="8" t="s">
        <v>688</v>
      </c>
      <c r="F23" s="8" t="s">
        <v>706</v>
      </c>
      <c r="G23" s="8" t="s">
        <v>707</v>
      </c>
      <c r="H23" s="8" t="s">
        <v>734</v>
      </c>
      <c r="I23" s="8" t="s">
        <v>735</v>
      </c>
      <c r="J23" s="8"/>
      <c r="K23" s="8" t="s">
        <v>222</v>
      </c>
      <c r="L23" s="8"/>
      <c r="M23" s="8">
        <v>1</v>
      </c>
      <c r="N23" s="64" t="s">
        <v>680</v>
      </c>
      <c r="O23" s="64" t="s">
        <v>681</v>
      </c>
      <c r="P23" s="64" t="s">
        <v>222</v>
      </c>
      <c r="Q23" s="64"/>
      <c r="R23" s="104"/>
      <c r="S23" s="104"/>
    </row>
    <row r="24" spans="1:19" ht="116.25">
      <c r="A24" s="7">
        <v>14</v>
      </c>
      <c r="B24" s="8" t="s">
        <v>714</v>
      </c>
      <c r="C24" s="8" t="s">
        <v>720</v>
      </c>
      <c r="D24" s="8"/>
      <c r="E24" s="8" t="s">
        <v>688</v>
      </c>
      <c r="F24" s="8" t="s">
        <v>706</v>
      </c>
      <c r="G24" s="8" t="s">
        <v>707</v>
      </c>
      <c r="H24" s="8" t="s">
        <v>738</v>
      </c>
      <c r="I24" s="8" t="s">
        <v>735</v>
      </c>
      <c r="J24" s="8"/>
      <c r="K24" s="8" t="s">
        <v>222</v>
      </c>
      <c r="L24" s="8"/>
      <c r="M24" s="8">
        <v>1</v>
      </c>
      <c r="N24" s="64" t="s">
        <v>680</v>
      </c>
      <c r="O24" s="64" t="s">
        <v>681</v>
      </c>
      <c r="P24" s="64" t="s">
        <v>222</v>
      </c>
      <c r="Q24" s="64"/>
      <c r="R24" s="104"/>
      <c r="S24" s="104"/>
    </row>
    <row r="25" spans="1:19" ht="116.25">
      <c r="A25" s="7">
        <v>15</v>
      </c>
      <c r="B25" s="8" t="s">
        <v>715</v>
      </c>
      <c r="C25" s="8" t="s">
        <v>721</v>
      </c>
      <c r="D25" s="8" t="s">
        <v>757</v>
      </c>
      <c r="E25" s="8" t="s">
        <v>688</v>
      </c>
      <c r="F25" s="8" t="s">
        <v>706</v>
      </c>
      <c r="G25" s="8" t="s">
        <v>707</v>
      </c>
      <c r="H25" s="8" t="s">
        <v>739</v>
      </c>
      <c r="I25" s="8" t="s">
        <v>740</v>
      </c>
      <c r="J25" s="8"/>
      <c r="K25" s="8" t="s">
        <v>222</v>
      </c>
      <c r="L25" s="8"/>
      <c r="M25" s="8">
        <v>1</v>
      </c>
      <c r="N25" s="64" t="s">
        <v>680</v>
      </c>
      <c r="O25" s="64" t="s">
        <v>681</v>
      </c>
      <c r="P25" s="64" t="s">
        <v>222</v>
      </c>
      <c r="Q25" s="64"/>
      <c r="R25" s="104"/>
      <c r="S25" s="104"/>
    </row>
    <row r="26" spans="1:19" ht="116.25">
      <c r="A26" s="7">
        <v>16</v>
      </c>
      <c r="B26" s="8" t="s">
        <v>716</v>
      </c>
      <c r="C26" s="8" t="s">
        <v>723</v>
      </c>
      <c r="D26" s="8" t="s">
        <v>757</v>
      </c>
      <c r="E26" s="8" t="s">
        <v>688</v>
      </c>
      <c r="F26" s="8" t="s">
        <v>706</v>
      </c>
      <c r="G26" s="8" t="s">
        <v>707</v>
      </c>
      <c r="H26" s="8" t="s">
        <v>741</v>
      </c>
      <c r="I26" s="8" t="s">
        <v>747</v>
      </c>
      <c r="J26" s="8"/>
      <c r="K26" s="8" t="s">
        <v>222</v>
      </c>
      <c r="L26" s="8"/>
      <c r="M26" s="8">
        <v>1</v>
      </c>
      <c r="N26" s="64" t="s">
        <v>680</v>
      </c>
      <c r="O26" s="64" t="s">
        <v>681</v>
      </c>
      <c r="P26" s="64" t="s">
        <v>222</v>
      </c>
      <c r="Q26" s="64"/>
      <c r="R26" s="104"/>
      <c r="S26" s="104"/>
    </row>
    <row r="27" spans="1:19" ht="116.25">
      <c r="A27" s="7">
        <v>17</v>
      </c>
      <c r="B27" s="8" t="s">
        <v>742</v>
      </c>
      <c r="C27" s="8" t="s">
        <v>743</v>
      </c>
      <c r="D27" s="8" t="s">
        <v>757</v>
      </c>
      <c r="E27" s="8" t="s">
        <v>688</v>
      </c>
      <c r="F27" s="8" t="s">
        <v>744</v>
      </c>
      <c r="G27" s="8" t="s">
        <v>745</v>
      </c>
      <c r="H27" s="8" t="s">
        <v>746</v>
      </c>
      <c r="I27" s="8" t="s">
        <v>740</v>
      </c>
      <c r="J27" s="8"/>
      <c r="K27" s="8" t="s">
        <v>222</v>
      </c>
      <c r="L27" s="8"/>
      <c r="M27" s="8">
        <v>1</v>
      </c>
      <c r="N27" s="64" t="s">
        <v>680</v>
      </c>
      <c r="O27" s="64" t="s">
        <v>681</v>
      </c>
      <c r="P27" s="64" t="s">
        <v>222</v>
      </c>
      <c r="Q27" s="64"/>
      <c r="R27" s="104"/>
      <c r="S27" s="104"/>
    </row>
    <row r="28" spans="1:19" ht="116.25">
      <c r="A28" s="7">
        <v>18</v>
      </c>
      <c r="B28" s="8" t="s">
        <v>748</v>
      </c>
      <c r="C28" s="8" t="s">
        <v>749</v>
      </c>
      <c r="D28" s="8" t="s">
        <v>757</v>
      </c>
      <c r="E28" s="8" t="s">
        <v>688</v>
      </c>
      <c r="F28" s="8" t="s">
        <v>744</v>
      </c>
      <c r="G28" s="8" t="s">
        <v>745</v>
      </c>
      <c r="H28" s="50" t="s">
        <v>750</v>
      </c>
      <c r="I28" s="8" t="s">
        <v>740</v>
      </c>
      <c r="J28" s="8"/>
      <c r="K28" s="8" t="s">
        <v>222</v>
      </c>
      <c r="L28" s="8"/>
      <c r="M28" s="8">
        <v>1</v>
      </c>
      <c r="N28" s="64" t="s">
        <v>680</v>
      </c>
      <c r="O28" s="64" t="s">
        <v>681</v>
      </c>
      <c r="P28" s="64" t="s">
        <v>222</v>
      </c>
      <c r="Q28" s="64"/>
      <c r="R28" s="104"/>
      <c r="S28" s="104"/>
    </row>
    <row r="29" spans="1:19" ht="116.25">
      <c r="A29" s="7">
        <v>19</v>
      </c>
      <c r="B29" s="8" t="s">
        <v>751</v>
      </c>
      <c r="C29" s="8" t="s">
        <v>753</v>
      </c>
      <c r="D29" s="8" t="s">
        <v>757</v>
      </c>
      <c r="E29" s="8" t="s">
        <v>688</v>
      </c>
      <c r="F29" s="8" t="s">
        <v>744</v>
      </c>
      <c r="G29" s="8" t="s">
        <v>745</v>
      </c>
      <c r="H29" s="50" t="s">
        <v>752</v>
      </c>
      <c r="I29" s="8" t="s">
        <v>729</v>
      </c>
      <c r="J29" s="8"/>
      <c r="K29" s="8" t="s">
        <v>222</v>
      </c>
      <c r="L29" s="8"/>
      <c r="M29" s="8">
        <v>1</v>
      </c>
      <c r="N29" s="64" t="s">
        <v>680</v>
      </c>
      <c r="O29" s="64" t="s">
        <v>681</v>
      </c>
      <c r="P29" s="64" t="s">
        <v>222</v>
      </c>
      <c r="Q29" s="64"/>
      <c r="R29" s="104"/>
      <c r="S29" s="104"/>
    </row>
    <row r="30" spans="1:19" ht="116.25">
      <c r="A30" s="7">
        <v>20</v>
      </c>
      <c r="B30" s="8" t="s">
        <v>754</v>
      </c>
      <c r="C30" s="8" t="s">
        <v>755</v>
      </c>
      <c r="D30" s="8" t="s">
        <v>757</v>
      </c>
      <c r="E30" s="8" t="s">
        <v>688</v>
      </c>
      <c r="F30" s="8" t="s">
        <v>744</v>
      </c>
      <c r="G30" s="8" t="s">
        <v>745</v>
      </c>
      <c r="H30" s="50" t="s">
        <v>756</v>
      </c>
      <c r="I30" s="8" t="s">
        <v>729</v>
      </c>
      <c r="J30" s="8"/>
      <c r="K30" s="8" t="s">
        <v>222</v>
      </c>
      <c r="L30" s="8"/>
      <c r="M30" s="8">
        <v>1</v>
      </c>
      <c r="N30" s="64" t="s">
        <v>680</v>
      </c>
      <c r="O30" s="64" t="s">
        <v>681</v>
      </c>
      <c r="P30" s="64" t="s">
        <v>222</v>
      </c>
      <c r="Q30" s="64"/>
      <c r="R30" s="104"/>
      <c r="S30" s="104"/>
    </row>
    <row r="31" spans="1:19" ht="18.75">
      <c r="A31" s="7"/>
      <c r="B31" s="8"/>
      <c r="C31" s="8"/>
      <c r="D31" s="8"/>
      <c r="E31" s="8"/>
      <c r="F31" s="8"/>
      <c r="G31" s="50"/>
      <c r="H31" s="50"/>
      <c r="I31" s="8"/>
      <c r="J31" s="8"/>
      <c r="K31" s="8"/>
      <c r="L31" s="8"/>
      <c r="M31" s="8"/>
      <c r="N31" s="64"/>
      <c r="O31" s="64"/>
      <c r="P31" s="64"/>
      <c r="Q31" s="64"/>
      <c r="R31" s="104"/>
      <c r="S31" s="104"/>
    </row>
    <row r="32" spans="1:19" ht="18.75">
      <c r="A32" s="7"/>
      <c r="B32" s="8"/>
      <c r="C32" s="8"/>
      <c r="D32" s="8"/>
      <c r="E32" s="8"/>
      <c r="F32" s="8"/>
      <c r="G32" s="8"/>
      <c r="H32" s="50"/>
      <c r="I32" s="8"/>
      <c r="J32" s="8"/>
      <c r="K32" s="8"/>
      <c r="L32" s="8"/>
      <c r="M32" s="8"/>
      <c r="N32" s="64"/>
      <c r="O32" s="64"/>
      <c r="P32" s="64"/>
      <c r="Q32" s="64"/>
      <c r="R32" s="104"/>
      <c r="S32" s="104"/>
    </row>
    <row r="33" spans="1:19" ht="15.75" customHeight="1">
      <c r="A33" s="287" t="s">
        <v>23</v>
      </c>
      <c r="B33" s="288"/>
      <c r="C33" s="287" t="s">
        <v>27</v>
      </c>
      <c r="D33" s="289"/>
      <c r="E33" s="288"/>
      <c r="F33" s="94">
        <f>K33+L33</f>
        <v>20</v>
      </c>
      <c r="G33" s="94"/>
      <c r="H33" s="94"/>
      <c r="I33" s="95"/>
      <c r="J33" s="95">
        <f>COUNTIF(J10:J32,"*")</f>
        <v>0</v>
      </c>
      <c r="K33" s="95">
        <f>COUNTIF(K10:K32,"*")</f>
        <v>18</v>
      </c>
      <c r="L33" s="95">
        <f>COUNTIF(L10:L32,"*")</f>
        <v>2</v>
      </c>
      <c r="M33" s="95">
        <f>COUNTIF(M10:M32,"*")</f>
        <v>0</v>
      </c>
      <c r="N33" s="95"/>
      <c r="O33" s="95"/>
      <c r="P33" s="95">
        <f>COUNTIF(P10:P32,"*")</f>
        <v>19</v>
      </c>
      <c r="Q33" s="95">
        <f>COUNTIF(Q10:Q32,"*")</f>
        <v>0</v>
      </c>
      <c r="R33" s="105">
        <f>COUNTIF(R10:R32,"*")</f>
        <v>0</v>
      </c>
      <c r="S33" s="105">
        <f>COUNTIF(S10:S32,"*")</f>
        <v>0</v>
      </c>
    </row>
  </sheetData>
  <sheetProtection password="CC61" sheet="1" objects="1" scenarios="1" insertRows="0"/>
  <mergeCells count="25">
    <mergeCell ref="C5:C8"/>
    <mergeCell ref="D5:D8"/>
    <mergeCell ref="A33:B33"/>
    <mergeCell ref="C33:E33"/>
    <mergeCell ref="H5:H8"/>
    <mergeCell ref="A5:A8"/>
    <mergeCell ref="E5:E8"/>
    <mergeCell ref="N1:Q1"/>
    <mergeCell ref="A2:M2"/>
    <mergeCell ref="A3:M3"/>
    <mergeCell ref="A4:M4"/>
    <mergeCell ref="B5:B8"/>
    <mergeCell ref="F5:F8"/>
    <mergeCell ref="G5:G8"/>
    <mergeCell ref="K5:L5"/>
    <mergeCell ref="K6:K8"/>
    <mergeCell ref="M5:M8"/>
    <mergeCell ref="R5:S7"/>
    <mergeCell ref="P5:P8"/>
    <mergeCell ref="Q5:Q8"/>
    <mergeCell ref="I5:I8"/>
    <mergeCell ref="J5:J8"/>
    <mergeCell ref="N5:N8"/>
    <mergeCell ref="O5:O8"/>
    <mergeCell ref="L6:L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X42"/>
  <sheetViews>
    <sheetView tabSelected="1" zoomScale="40" zoomScaleNormal="40" zoomScalePageLayoutView="0" workbookViewId="0" topLeftCell="A1">
      <selection activeCell="I11" sqref="I11"/>
    </sheetView>
  </sheetViews>
  <sheetFormatPr defaultColWidth="9.140625" defaultRowHeight="15"/>
  <cols>
    <col min="1" max="1" width="4.140625" style="82" customWidth="1"/>
    <col min="2" max="2" width="31.00390625" style="82" customWidth="1"/>
    <col min="3" max="3" width="19.00390625" style="82" customWidth="1"/>
    <col min="4" max="4" width="20.57421875" style="82" customWidth="1"/>
    <col min="5" max="5" width="24.140625" style="82" customWidth="1"/>
    <col min="6" max="6" width="20.28125" style="82" customWidth="1"/>
    <col min="7" max="7" width="21.7109375" style="82" customWidth="1"/>
    <col min="8" max="8" width="21.421875" style="82" customWidth="1"/>
    <col min="9" max="9" width="13.28125" style="82" customWidth="1"/>
    <col min="10" max="10" width="14.28125" style="82" customWidth="1"/>
    <col min="11" max="11" width="15.421875" style="82" customWidth="1"/>
    <col min="12" max="12" width="10.421875" style="82" customWidth="1"/>
    <col min="13" max="13" width="12.8515625" style="82" customWidth="1"/>
    <col min="14" max="14" width="14.57421875" style="82" customWidth="1"/>
    <col min="15" max="15" width="11.421875" style="82" customWidth="1"/>
    <col min="16" max="16" width="17.7109375" style="82" customWidth="1"/>
    <col min="17" max="17" width="21.8515625" style="82" customWidth="1"/>
    <col min="18" max="18" width="23.57421875" style="82" customWidth="1"/>
    <col min="19" max="19" width="20.140625" style="82" customWidth="1"/>
    <col min="20" max="20" width="14.28125" style="82" customWidth="1"/>
    <col min="21" max="21" width="23.421875" style="82" customWidth="1"/>
    <col min="22" max="22" width="17.140625" style="82" customWidth="1"/>
    <col min="23" max="23" width="28.140625" style="82" customWidth="1"/>
    <col min="24" max="24" width="17.00390625" style="82" customWidth="1"/>
    <col min="25" max="16384" width="9.140625" style="82" customWidth="1"/>
  </cols>
  <sheetData>
    <row r="1" spans="2:22" ht="39" customHeight="1">
      <c r="B1" s="291" t="s">
        <v>135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ht="20.25">
      <c r="B2" s="82" t="s">
        <v>136</v>
      </c>
    </row>
    <row r="3" spans="2:24" ht="18.75" customHeight="1">
      <c r="B3" s="292" t="s">
        <v>143</v>
      </c>
      <c r="C3" s="292" t="s">
        <v>149</v>
      </c>
      <c r="D3" s="292" t="s">
        <v>148</v>
      </c>
      <c r="E3" s="292" t="s">
        <v>150</v>
      </c>
      <c r="F3" s="292" t="s">
        <v>151</v>
      </c>
      <c r="G3" s="292" t="s">
        <v>152</v>
      </c>
      <c r="H3" s="292" t="s">
        <v>144</v>
      </c>
      <c r="I3" s="296" t="s">
        <v>4</v>
      </c>
      <c r="J3" s="296"/>
      <c r="K3" s="296"/>
      <c r="L3" s="296"/>
      <c r="M3" s="296"/>
      <c r="N3" s="296"/>
      <c r="O3" s="292" t="s">
        <v>153</v>
      </c>
      <c r="P3" s="292" t="s">
        <v>154</v>
      </c>
      <c r="Q3" s="292" t="s">
        <v>155</v>
      </c>
      <c r="R3" s="292" t="s">
        <v>156</v>
      </c>
      <c r="S3" s="292" t="s">
        <v>157</v>
      </c>
      <c r="T3" s="292" t="s">
        <v>196</v>
      </c>
      <c r="U3" s="292" t="s">
        <v>134</v>
      </c>
      <c r="V3" s="292" t="s">
        <v>131</v>
      </c>
      <c r="W3" s="292" t="s">
        <v>160</v>
      </c>
      <c r="X3" s="83"/>
    </row>
    <row r="4" spans="2:24" ht="20.25">
      <c r="B4" s="292"/>
      <c r="C4" s="292"/>
      <c r="D4" s="292"/>
      <c r="E4" s="292"/>
      <c r="F4" s="292"/>
      <c r="G4" s="292"/>
      <c r="H4" s="292"/>
      <c r="I4" s="296" t="s">
        <v>145</v>
      </c>
      <c r="J4" s="296"/>
      <c r="K4" s="296"/>
      <c r="L4" s="296" t="s">
        <v>146</v>
      </c>
      <c r="M4" s="296"/>
      <c r="N4" s="296"/>
      <c r="O4" s="292"/>
      <c r="P4" s="292"/>
      <c r="Q4" s="292"/>
      <c r="R4" s="292"/>
      <c r="S4" s="292"/>
      <c r="T4" s="292"/>
      <c r="U4" s="292"/>
      <c r="V4" s="292"/>
      <c r="W4" s="292"/>
      <c r="X4" s="83"/>
    </row>
    <row r="5" spans="2:24" ht="20.25">
      <c r="B5" s="292"/>
      <c r="C5" s="292"/>
      <c r="D5" s="292"/>
      <c r="E5" s="292"/>
      <c r="F5" s="292"/>
      <c r="G5" s="292"/>
      <c r="H5" s="292"/>
      <c r="I5" s="292" t="s">
        <v>7</v>
      </c>
      <c r="J5" s="296" t="s">
        <v>147</v>
      </c>
      <c r="K5" s="296"/>
      <c r="L5" s="292" t="s">
        <v>7</v>
      </c>
      <c r="M5" s="296" t="s">
        <v>147</v>
      </c>
      <c r="N5" s="296"/>
      <c r="O5" s="292"/>
      <c r="P5" s="292"/>
      <c r="Q5" s="292"/>
      <c r="R5" s="292"/>
      <c r="S5" s="292"/>
      <c r="T5" s="292"/>
      <c r="U5" s="292"/>
      <c r="V5" s="292"/>
      <c r="W5" s="292"/>
      <c r="X5" s="83"/>
    </row>
    <row r="6" spans="2:24" ht="87" customHeight="1">
      <c r="B6" s="292"/>
      <c r="C6" s="292"/>
      <c r="D6" s="292"/>
      <c r="E6" s="292"/>
      <c r="F6" s="292"/>
      <c r="G6" s="292"/>
      <c r="H6" s="292"/>
      <c r="I6" s="292"/>
      <c r="J6" s="84" t="s">
        <v>73</v>
      </c>
      <c r="K6" s="84" t="s">
        <v>74</v>
      </c>
      <c r="L6" s="292"/>
      <c r="M6" s="84" t="s">
        <v>73</v>
      </c>
      <c r="N6" s="85" t="s">
        <v>74</v>
      </c>
      <c r="O6" s="292"/>
      <c r="P6" s="292"/>
      <c r="Q6" s="292"/>
      <c r="R6" s="292"/>
      <c r="S6" s="292"/>
      <c r="T6" s="292"/>
      <c r="U6" s="292"/>
      <c r="V6" s="292"/>
      <c r="W6" s="292"/>
      <c r="X6" s="83"/>
    </row>
    <row r="7" spans="2:24" ht="50.25" customHeight="1">
      <c r="B7" s="86" t="s">
        <v>7</v>
      </c>
      <c r="C7" s="87">
        <f>Лист3!B7</f>
        <v>101</v>
      </c>
      <c r="D7" s="87">
        <f>Лист3!C7</f>
        <v>4</v>
      </c>
      <c r="E7" s="87">
        <f>Лист3!D7</f>
        <v>2</v>
      </c>
      <c r="F7" s="87">
        <f>Лист3!F7</f>
        <v>37</v>
      </c>
      <c r="G7" s="87">
        <f>Лист3!G7</f>
        <v>383</v>
      </c>
      <c r="H7" s="87">
        <f>Лист3!H7</f>
        <v>307</v>
      </c>
      <c r="I7" s="87">
        <f>Лист3!I7</f>
        <v>15108.730000000001</v>
      </c>
      <c r="J7" s="87">
        <f>Лист3!J7</f>
        <v>5993.270000000001</v>
      </c>
      <c r="K7" s="87">
        <f>Лист3!K7</f>
        <v>8882.36</v>
      </c>
      <c r="L7" s="87">
        <f>Лист3!L7</f>
        <v>8923.85</v>
      </c>
      <c r="M7" s="87">
        <f>Лист3!M7</f>
        <v>3497.8500000000004</v>
      </c>
      <c r="N7" s="87">
        <f>Лист3!N7</f>
        <v>5444</v>
      </c>
      <c r="O7" s="88">
        <f>Лист3!E28</f>
        <v>7</v>
      </c>
      <c r="P7" s="88">
        <f>Лист3!O7</f>
        <v>54</v>
      </c>
      <c r="Q7" s="88">
        <f>Лист3!B28</f>
        <v>10</v>
      </c>
      <c r="R7" s="88">
        <f>Лист3!C28</f>
        <v>53</v>
      </c>
      <c r="S7" s="88">
        <f>Лист3!D28</f>
        <v>32</v>
      </c>
      <c r="T7" s="88">
        <f>Лист3!P7</f>
        <v>6</v>
      </c>
      <c r="U7" s="88">
        <f>Лист3!Q7</f>
        <v>46</v>
      </c>
      <c r="V7" s="88">
        <f>Лист3!R7</f>
        <v>46</v>
      </c>
      <c r="W7" s="88">
        <f>Лист3!F28</f>
        <v>35</v>
      </c>
      <c r="X7" s="83"/>
    </row>
    <row r="8" spans="2:23" s="83" customFormat="1" ht="206.25" customHeight="1">
      <c r="B8" s="88" t="s">
        <v>184</v>
      </c>
      <c r="C8" s="88">
        <f>Лист3!O7</f>
        <v>54</v>
      </c>
      <c r="D8" s="293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5"/>
    </row>
    <row r="9" spans="2:23" s="83" customFormat="1" ht="33" customHeight="1">
      <c r="B9" s="88" t="s">
        <v>137</v>
      </c>
      <c r="C9" s="88">
        <f>Лист3!B2</f>
        <v>18</v>
      </c>
      <c r="D9" s="88">
        <f>Лист3!C2</f>
        <v>0</v>
      </c>
      <c r="E9" s="88">
        <f>Лист3!D2</f>
        <v>2</v>
      </c>
      <c r="F9" s="88">
        <f>Лист3!F2</f>
        <v>1</v>
      </c>
      <c r="G9" s="88">
        <f>Лист3!G2</f>
        <v>52</v>
      </c>
      <c r="H9" s="88">
        <f>Лист3!H2</f>
        <v>44</v>
      </c>
      <c r="I9" s="88">
        <f>Лист3!I2</f>
        <v>1327.37</v>
      </c>
      <c r="J9" s="88">
        <f>Лист3!J2</f>
        <v>1327.37</v>
      </c>
      <c r="K9" s="88" t="str">
        <f>Лист3!K2</f>
        <v> </v>
      </c>
      <c r="L9" s="297">
        <f>Лист3!L2</f>
        <v>789.3499999999999</v>
      </c>
      <c r="M9" s="88">
        <f>Лист3!M2</f>
        <v>789.3499999999999</v>
      </c>
      <c r="N9" s="88" t="str">
        <f>Лист3!N2</f>
        <v> </v>
      </c>
      <c r="O9" s="88">
        <f>Лист3!E23</f>
        <v>0</v>
      </c>
      <c r="P9" s="88">
        <f>Лист3!O2</f>
        <v>10</v>
      </c>
      <c r="Q9" s="88">
        <f>Лист3!B23</f>
        <v>0</v>
      </c>
      <c r="R9" s="88">
        <f>Лист3!C23</f>
        <v>10</v>
      </c>
      <c r="S9" s="88">
        <f>Лист3!D23</f>
        <v>8</v>
      </c>
      <c r="T9" s="88">
        <f>Лист3!P2</f>
        <v>2</v>
      </c>
      <c r="U9" s="88">
        <f>Лист3!Q2</f>
        <v>14</v>
      </c>
      <c r="V9" s="88">
        <f>Лист3!R2</f>
        <v>14</v>
      </c>
      <c r="W9" s="88">
        <f>Лист3!F23</f>
        <v>6</v>
      </c>
    </row>
    <row r="10" spans="2:23" s="83" customFormat="1" ht="74.25" customHeight="1">
      <c r="B10" s="88" t="s">
        <v>138</v>
      </c>
      <c r="C10" s="88">
        <f>Лист3!B3</f>
        <v>33</v>
      </c>
      <c r="D10" s="88">
        <f>Лист3!C3</f>
        <v>3</v>
      </c>
      <c r="E10" s="88">
        <f>Лист3!D3</f>
        <v>0</v>
      </c>
      <c r="F10" s="88">
        <f>Лист3!F3</f>
        <v>17</v>
      </c>
      <c r="G10" s="88">
        <f>Лист3!G3</f>
        <v>103</v>
      </c>
      <c r="H10" s="88">
        <f>Лист3!H3</f>
        <v>79</v>
      </c>
      <c r="I10" s="88">
        <f>Лист3!I3</f>
        <v>3422.1000000000004</v>
      </c>
      <c r="J10" s="88" t="str">
        <f>Лист3!J3</f>
        <v> </v>
      </c>
      <c r="K10" s="88">
        <f>Лист3!K3</f>
        <v>3422.1000000000004</v>
      </c>
      <c r="L10" s="297">
        <f>Лист3!L3</f>
        <v>2001.6</v>
      </c>
      <c r="M10" s="88">
        <f>Лист3!M3</f>
        <v>18</v>
      </c>
      <c r="N10" s="88">
        <f>Лист3!N3</f>
        <v>2001.6</v>
      </c>
      <c r="O10" s="88">
        <f>Лист3!E24</f>
        <v>6</v>
      </c>
      <c r="P10" s="88">
        <f>Лист3!O3</f>
        <v>9</v>
      </c>
      <c r="Q10" s="88">
        <f>Лист3!B24</f>
        <v>3</v>
      </c>
      <c r="R10" s="88">
        <f>Лист3!C24</f>
        <v>12</v>
      </c>
      <c r="S10" s="88">
        <f>Лист3!D24</f>
        <v>18</v>
      </c>
      <c r="T10" s="88">
        <f>Лист3!P3</f>
        <v>1</v>
      </c>
      <c r="U10" s="88"/>
      <c r="V10" s="88"/>
      <c r="W10" s="88"/>
    </row>
    <row r="11" spans="2:24" s="83" customFormat="1" ht="69" customHeight="1">
      <c r="B11" s="88" t="s">
        <v>139</v>
      </c>
      <c r="C11" s="88">
        <f>Лист3!B4</f>
        <v>44</v>
      </c>
      <c r="D11" s="88">
        <f>Лист3!C4</f>
        <v>1</v>
      </c>
      <c r="E11" s="88">
        <f>Лист3!D4</f>
        <v>0</v>
      </c>
      <c r="F11" s="88">
        <f>Лист3!F4</f>
        <v>17</v>
      </c>
      <c r="G11" s="88">
        <f>Лист3!G4</f>
        <v>157</v>
      </c>
      <c r="H11" s="88">
        <f>Лист3!H4</f>
        <v>129</v>
      </c>
      <c r="I11" s="88">
        <f>Лист3!I4</f>
        <v>5938.700000000001</v>
      </c>
      <c r="J11" s="88">
        <f>Лист3!J4</f>
        <v>4665.9000000000015</v>
      </c>
      <c r="K11" s="88">
        <f>Лист3!K4</f>
        <v>1039.7</v>
      </c>
      <c r="L11" s="297">
        <f>Лист3!L4</f>
        <v>3254.9000000000005</v>
      </c>
      <c r="M11" s="88">
        <f>Лист3!M4</f>
        <v>2690.5000000000005</v>
      </c>
      <c r="N11" s="88">
        <f>Лист3!N4</f>
        <v>564.4</v>
      </c>
      <c r="O11" s="88">
        <f>Лист3!E25</f>
        <v>1</v>
      </c>
      <c r="P11" s="88">
        <f>Лист3!O4</f>
        <v>34</v>
      </c>
      <c r="Q11" s="88">
        <f>Лист3!B25</f>
        <v>7</v>
      </c>
      <c r="R11" s="88">
        <f>Лист3!C25</f>
        <v>31</v>
      </c>
      <c r="S11" s="88">
        <f>Лист3!D25</f>
        <v>6</v>
      </c>
      <c r="T11" s="88">
        <f>Лист3!P4</f>
        <v>3</v>
      </c>
      <c r="U11" s="88">
        <f>Лист3!Q4</f>
        <v>32</v>
      </c>
      <c r="V11" s="88">
        <f>Лист3!R4</f>
        <v>32</v>
      </c>
      <c r="W11" s="88">
        <f>Лист3!F25</f>
        <v>29</v>
      </c>
      <c r="X11" s="85" t="s">
        <v>180</v>
      </c>
    </row>
    <row r="12" spans="2:24" s="83" customFormat="1" ht="42" customHeight="1">
      <c r="B12" s="88" t="s">
        <v>140</v>
      </c>
      <c r="C12" s="88">
        <f>Лист3!B5</f>
        <v>6</v>
      </c>
      <c r="D12" s="88">
        <f>Лист3!C5</f>
        <v>0</v>
      </c>
      <c r="E12" s="88">
        <f>Лист3!D5</f>
        <v>0</v>
      </c>
      <c r="F12" s="88">
        <f>Лист3!F5</f>
        <v>2</v>
      </c>
      <c r="G12" s="88">
        <f>Лист3!G5</f>
        <v>71</v>
      </c>
      <c r="H12" s="88">
        <f>Лист3!H5</f>
        <v>55</v>
      </c>
      <c r="I12" s="88">
        <f>Лист3!I5</f>
        <v>4420.5599999999995</v>
      </c>
      <c r="J12" s="88" t="str">
        <f>Лист3!J5</f>
        <v> </v>
      </c>
      <c r="K12" s="88">
        <f>Лист3!K5</f>
        <v>4420.5599999999995</v>
      </c>
      <c r="L12" s="297">
        <f>Лист3!L5</f>
        <v>2878</v>
      </c>
      <c r="M12" s="88" t="str">
        <f>Лист3!M5</f>
        <v> </v>
      </c>
      <c r="N12" s="88">
        <f>Лист3!N5</f>
        <v>2878</v>
      </c>
      <c r="O12" s="88">
        <f>Лист3!E26</f>
        <v>0</v>
      </c>
      <c r="P12" s="88">
        <f>Лист3!O5</f>
        <v>1</v>
      </c>
      <c r="Q12" s="88">
        <f>Лист3!B26</f>
        <v>0</v>
      </c>
      <c r="R12" s="88">
        <f>Лист3!C26</f>
        <v>0</v>
      </c>
      <c r="S12" s="88">
        <f>Лист3!D26</f>
        <v>0</v>
      </c>
      <c r="T12" s="88">
        <f>Лист3!P5</f>
        <v>0</v>
      </c>
      <c r="U12" s="88"/>
      <c r="V12" s="88"/>
      <c r="W12" s="88"/>
      <c r="X12" s="89" t="str">
        <f>Лист3!S5</f>
        <v> </v>
      </c>
    </row>
    <row r="13" spans="2:24" s="83" customFormat="1" ht="57" customHeight="1">
      <c r="B13" s="88" t="s">
        <v>141</v>
      </c>
      <c r="C13" s="88">
        <f>Лист3!B6</f>
        <v>0</v>
      </c>
      <c r="D13" s="88">
        <f>Лист3!C6</f>
        <v>0</v>
      </c>
      <c r="E13" s="88">
        <f>Лист3!D6</f>
        <v>0</v>
      </c>
      <c r="F13" s="88">
        <f>Лист3!F6</f>
        <v>0</v>
      </c>
      <c r="G13" s="88" t="str">
        <f>Лист3!G6</f>
        <v> </v>
      </c>
      <c r="H13" s="88" t="str">
        <f>Лист3!H6</f>
        <v> </v>
      </c>
      <c r="I13" s="88" t="str">
        <f>Лист3!I6</f>
        <v> </v>
      </c>
      <c r="J13" s="88" t="str">
        <f>Лист3!J6</f>
        <v> </v>
      </c>
      <c r="K13" s="88" t="str">
        <f>Лист3!K6</f>
        <v> </v>
      </c>
      <c r="L13" s="297" t="str">
        <f>Лист3!L6</f>
        <v> </v>
      </c>
      <c r="M13" s="88" t="str">
        <f>Лист3!M6</f>
        <v> </v>
      </c>
      <c r="N13" s="88" t="str">
        <f>Лист3!N6</f>
        <v> </v>
      </c>
      <c r="O13" s="88">
        <f>Лист3!E27</f>
        <v>0</v>
      </c>
      <c r="P13" s="88">
        <f>Лист3!O6</f>
        <v>0</v>
      </c>
      <c r="Q13" s="88">
        <f>Лист3!B27</f>
        <v>0</v>
      </c>
      <c r="R13" s="88">
        <f>Лист3!C27</f>
        <v>0</v>
      </c>
      <c r="S13" s="88">
        <f>Лист3!D27</f>
        <v>0</v>
      </c>
      <c r="T13" s="88">
        <f>Лист3!P6</f>
        <v>0</v>
      </c>
      <c r="U13" s="88"/>
      <c r="V13" s="88"/>
      <c r="W13" s="88"/>
      <c r="X13" s="89" t="str">
        <f>Лист3!S6</f>
        <v> </v>
      </c>
    </row>
    <row r="14" ht="57" customHeight="1">
      <c r="B14" s="82" t="s">
        <v>142</v>
      </c>
    </row>
    <row r="15" spans="2:3" ht="20.25">
      <c r="B15" s="86" t="s">
        <v>7</v>
      </c>
      <c r="C15" s="90">
        <v>10</v>
      </c>
    </row>
    <row r="16" spans="2:3" ht="182.25">
      <c r="B16" s="88" t="s">
        <v>184</v>
      </c>
      <c r="C16" s="90">
        <v>4</v>
      </c>
    </row>
    <row r="18" ht="20.25">
      <c r="B18" s="82" t="s">
        <v>197</v>
      </c>
    </row>
    <row r="19" spans="2:8" s="83" customFormat="1" ht="93.75" customHeight="1">
      <c r="B19" s="290" t="s">
        <v>143</v>
      </c>
      <c r="C19" s="290" t="s">
        <v>149</v>
      </c>
      <c r="D19" s="290" t="s">
        <v>148</v>
      </c>
      <c r="E19" s="290" t="s">
        <v>161</v>
      </c>
      <c r="F19" s="290" t="s">
        <v>185</v>
      </c>
      <c r="G19" s="290" t="s">
        <v>4</v>
      </c>
      <c r="H19" s="290"/>
    </row>
    <row r="20" spans="2:8" s="83" customFormat="1" ht="20.25">
      <c r="B20" s="290"/>
      <c r="C20" s="290"/>
      <c r="D20" s="290"/>
      <c r="E20" s="290"/>
      <c r="F20" s="290"/>
      <c r="G20" s="88" t="s">
        <v>5</v>
      </c>
      <c r="H20" s="88" t="s">
        <v>6</v>
      </c>
    </row>
    <row r="21" spans="2:8" s="83" customFormat="1" ht="20.25">
      <c r="B21" s="91" t="s">
        <v>7</v>
      </c>
      <c r="C21" s="88">
        <f>Лист3!B21</f>
        <v>32</v>
      </c>
      <c r="D21" s="88">
        <f>Лист3!C21</f>
        <v>6</v>
      </c>
      <c r="E21" s="88">
        <f>Лист3!D21</f>
        <v>2</v>
      </c>
      <c r="F21" s="88">
        <f>Лист3!E21</f>
        <v>52</v>
      </c>
      <c r="G21" s="88">
        <f>Лист3!F21</f>
        <v>777.7</v>
      </c>
      <c r="H21" s="88">
        <f>Лист3!G21</f>
        <v>637.6</v>
      </c>
    </row>
    <row r="22" spans="2:8" s="83" customFormat="1" ht="30" customHeight="1">
      <c r="B22" s="88" t="s">
        <v>167</v>
      </c>
      <c r="C22" s="88">
        <f>Лист3!B16</f>
        <v>6</v>
      </c>
      <c r="D22" s="88">
        <f>Лист3!C16</f>
        <v>2</v>
      </c>
      <c r="E22" s="88">
        <f>Лист3!D16</f>
        <v>1</v>
      </c>
      <c r="F22" s="88">
        <f>Лист3!E16</f>
        <v>6</v>
      </c>
      <c r="G22" s="88">
        <f>Лист3!F16</f>
        <v>69.5</v>
      </c>
      <c r="H22" s="88">
        <f>Лист3!G16</f>
        <v>69.5</v>
      </c>
    </row>
    <row r="23" spans="2:8" s="83" customFormat="1" ht="33.75" customHeight="1">
      <c r="B23" s="88" t="s">
        <v>168</v>
      </c>
      <c r="C23" s="88">
        <f>Лист3!B20</f>
        <v>26</v>
      </c>
      <c r="D23" s="88">
        <f>Лист3!C20</f>
        <v>4</v>
      </c>
      <c r="E23" s="88">
        <f>Лист3!D20</f>
        <v>1</v>
      </c>
      <c r="F23" s="88">
        <f>Лист3!E20</f>
        <v>46</v>
      </c>
      <c r="G23" s="88">
        <f>Лист3!F20</f>
        <v>708.2</v>
      </c>
      <c r="H23" s="88">
        <f>Лист3!G20</f>
        <v>568.1</v>
      </c>
    </row>
    <row r="24" spans="2:8" s="83" customFormat="1" ht="61.5" customHeight="1">
      <c r="B24" s="88" t="s">
        <v>169</v>
      </c>
      <c r="C24" s="88">
        <f>Лист3!B13</f>
        <v>2</v>
      </c>
      <c r="D24" s="88">
        <f>Лист3!C13</f>
        <v>1</v>
      </c>
      <c r="E24" s="88">
        <f>Лист3!D13</f>
        <v>1</v>
      </c>
      <c r="F24" s="88">
        <f>Лист3!E13</f>
        <v>3</v>
      </c>
      <c r="G24" s="88">
        <f>Лист3!F13</f>
        <v>21</v>
      </c>
      <c r="H24" s="88">
        <f>Лист3!G13</f>
        <v>21</v>
      </c>
    </row>
    <row r="25" spans="2:8" s="83" customFormat="1" ht="60.75">
      <c r="B25" s="88" t="s">
        <v>163</v>
      </c>
      <c r="C25" s="88">
        <f>Лист3!B14</f>
        <v>4</v>
      </c>
      <c r="D25" s="88">
        <f>Лист3!C14</f>
        <v>1</v>
      </c>
      <c r="E25" s="88">
        <f>Лист3!D14</f>
        <v>0</v>
      </c>
      <c r="F25" s="88">
        <f>Лист3!E14</f>
        <v>3</v>
      </c>
      <c r="G25" s="88">
        <f>Лист3!F14</f>
        <v>48.5</v>
      </c>
      <c r="H25" s="88">
        <f>Лист3!G14</f>
        <v>48.5</v>
      </c>
    </row>
    <row r="26" spans="2:8" s="83" customFormat="1" ht="60.75">
      <c r="B26" s="88" t="s">
        <v>170</v>
      </c>
      <c r="C26" s="88">
        <f>Лист3!B15</f>
        <v>0</v>
      </c>
      <c r="D26" s="88">
        <f>Лист3!C15</f>
        <v>0</v>
      </c>
      <c r="E26" s="88">
        <f>Лист3!D15</f>
        <v>0</v>
      </c>
      <c r="F26" s="88">
        <f>Лист3!E15</f>
        <v>0</v>
      </c>
      <c r="G26" s="88">
        <f>Лист3!F15</f>
        <v>0</v>
      </c>
      <c r="H26" s="88">
        <f>Лист3!G15</f>
        <v>0</v>
      </c>
    </row>
    <row r="27" spans="2:8" s="83" customFormat="1" ht="40.5">
      <c r="B27" s="88" t="s">
        <v>164</v>
      </c>
      <c r="C27" s="88">
        <f>Лист3!B17</f>
        <v>6</v>
      </c>
      <c r="D27" s="88">
        <f>Лист3!C17</f>
        <v>1</v>
      </c>
      <c r="E27" s="88">
        <f>Лист3!D17</f>
        <v>1</v>
      </c>
      <c r="F27" s="88">
        <f>Лист3!E17</f>
        <v>15</v>
      </c>
      <c r="G27" s="88">
        <f>Лист3!F17</f>
        <v>236</v>
      </c>
      <c r="H27" s="88">
        <f>Лист3!G17</f>
        <v>184</v>
      </c>
    </row>
    <row r="28" spans="2:8" s="83" customFormat="1" ht="60.75">
      <c r="B28" s="88" t="s">
        <v>165</v>
      </c>
      <c r="C28" s="88">
        <f>Лист3!B18</f>
        <v>17</v>
      </c>
      <c r="D28" s="88">
        <f>Лист3!C18</f>
        <v>1</v>
      </c>
      <c r="E28" s="88">
        <f>Лист3!D18</f>
        <v>0</v>
      </c>
      <c r="F28" s="88">
        <f>Лист3!E18</f>
        <v>28</v>
      </c>
      <c r="G28" s="88">
        <f>Лист3!F18</f>
        <v>414.2</v>
      </c>
      <c r="H28" s="88">
        <f>Лист3!G18</f>
        <v>335.1</v>
      </c>
    </row>
    <row r="29" spans="2:8" s="83" customFormat="1" ht="60.75">
      <c r="B29" s="88" t="s">
        <v>166</v>
      </c>
      <c r="C29" s="88">
        <f>Лист3!B19</f>
        <v>3</v>
      </c>
      <c r="D29" s="88">
        <f>Лист3!C19</f>
        <v>2</v>
      </c>
      <c r="E29" s="88">
        <f>Лист3!D19</f>
        <v>0</v>
      </c>
      <c r="F29" s="88">
        <f>Лист3!E19</f>
        <v>3</v>
      </c>
      <c r="G29" s="88">
        <f>Лист3!F19</f>
        <v>58</v>
      </c>
      <c r="H29" s="88">
        <f>Лист3!G19</f>
        <v>49</v>
      </c>
    </row>
    <row r="31" ht="20.25">
      <c r="B31" s="82" t="s">
        <v>172</v>
      </c>
    </row>
    <row r="32" spans="2:3" ht="20.25">
      <c r="B32" s="86" t="s">
        <v>7</v>
      </c>
      <c r="C32" s="90">
        <v>2</v>
      </c>
    </row>
    <row r="34" ht="20.25">
      <c r="B34" s="82" t="s">
        <v>202</v>
      </c>
    </row>
    <row r="35" spans="2:5" ht="20.25">
      <c r="B35" s="290" t="s">
        <v>143</v>
      </c>
      <c r="C35" s="290" t="s">
        <v>149</v>
      </c>
      <c r="D35" s="290" t="s">
        <v>148</v>
      </c>
      <c r="E35" s="290" t="s">
        <v>185</v>
      </c>
    </row>
    <row r="36" spans="2:5" ht="20.25">
      <c r="B36" s="290"/>
      <c r="C36" s="290"/>
      <c r="D36" s="290"/>
      <c r="E36" s="290"/>
    </row>
    <row r="37" spans="2:5" ht="20.25">
      <c r="B37" s="91" t="s">
        <v>7</v>
      </c>
      <c r="C37" s="88">
        <f>C38+C39</f>
        <v>20</v>
      </c>
      <c r="D37" s="88">
        <f>'Печатная продукция'!J33</f>
        <v>0</v>
      </c>
      <c r="E37" s="88">
        <f>'Печатная продукция'!M33</f>
        <v>0</v>
      </c>
    </row>
    <row r="38" spans="2:5" ht="20.25">
      <c r="B38" s="96" t="s">
        <v>167</v>
      </c>
      <c r="C38" s="96">
        <f>'Печатная продукция'!L33</f>
        <v>2</v>
      </c>
      <c r="D38" s="96"/>
      <c r="E38" s="96"/>
    </row>
    <row r="39" spans="2:5" ht="20.25">
      <c r="B39" s="96" t="s">
        <v>206</v>
      </c>
      <c r="C39" s="96">
        <f>'Печатная продукция'!K33</f>
        <v>18</v>
      </c>
      <c r="D39" s="96"/>
      <c r="E39" s="96"/>
    </row>
    <row r="41" ht="20.25">
      <c r="B41" s="82" t="s">
        <v>203</v>
      </c>
    </row>
    <row r="42" spans="2:3" ht="20.25">
      <c r="B42" s="86" t="s">
        <v>7</v>
      </c>
      <c r="C42" s="90"/>
    </row>
  </sheetData>
  <sheetProtection password="CC61" sheet="1" formatCells="0" formatColumns="0" formatRows="0"/>
  <mergeCells count="35">
    <mergeCell ref="U3:U6"/>
    <mergeCell ref="V3:V6"/>
    <mergeCell ref="P3:P6"/>
    <mergeCell ref="Q3:Q6"/>
    <mergeCell ref="R3:R6"/>
    <mergeCell ref="S3:S6"/>
    <mergeCell ref="T3:T6"/>
    <mergeCell ref="B3:B6"/>
    <mergeCell ref="C3:C6"/>
    <mergeCell ref="D3:D6"/>
    <mergeCell ref="E3:E6"/>
    <mergeCell ref="F3:F6"/>
    <mergeCell ref="O3:O6"/>
    <mergeCell ref="I4:K4"/>
    <mergeCell ref="L4:N4"/>
    <mergeCell ref="J5:K5"/>
    <mergeCell ref="M5:N5"/>
    <mergeCell ref="E19:E20"/>
    <mergeCell ref="F19:F20"/>
    <mergeCell ref="G19:H19"/>
    <mergeCell ref="G3:G6"/>
    <mergeCell ref="H3:H6"/>
    <mergeCell ref="I3:N3"/>
    <mergeCell ref="I5:I6"/>
    <mergeCell ref="L5:L6"/>
    <mergeCell ref="B35:B36"/>
    <mergeCell ref="C35:C36"/>
    <mergeCell ref="D35:D36"/>
    <mergeCell ref="E35:E36"/>
    <mergeCell ref="B1:V1"/>
    <mergeCell ref="W3:W6"/>
    <mergeCell ref="D8:W8"/>
    <mergeCell ref="B19:B20"/>
    <mergeCell ref="C19:C20"/>
    <mergeCell ref="D19:D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1.421875" style="0" customWidth="1"/>
  </cols>
  <sheetData>
    <row r="1" ht="20.25">
      <c r="A1" s="2" t="s">
        <v>30</v>
      </c>
    </row>
    <row r="2" ht="20.25">
      <c r="A2" s="2" t="s">
        <v>31</v>
      </c>
    </row>
    <row r="3" ht="20.25">
      <c r="A3" s="2" t="s">
        <v>32</v>
      </c>
    </row>
    <row r="4" ht="20.25">
      <c r="A4" s="2" t="s">
        <v>55</v>
      </c>
    </row>
    <row r="5" ht="20.25">
      <c r="A5" s="2" t="s">
        <v>56</v>
      </c>
    </row>
    <row r="6" ht="20.25">
      <c r="A6" s="2" t="s">
        <v>33</v>
      </c>
    </row>
    <row r="7" ht="20.25">
      <c r="A7" s="2" t="s">
        <v>34</v>
      </c>
    </row>
    <row r="8" ht="20.25">
      <c r="A8" s="2" t="s">
        <v>35</v>
      </c>
    </row>
    <row r="9" ht="20.25">
      <c r="A9" s="2" t="s">
        <v>36</v>
      </c>
    </row>
    <row r="10" ht="20.25">
      <c r="A10" s="2" t="s">
        <v>37</v>
      </c>
    </row>
    <row r="11" ht="20.25">
      <c r="A11" s="2" t="s">
        <v>38</v>
      </c>
    </row>
    <row r="12" ht="20.25">
      <c r="A12" s="2" t="s">
        <v>39</v>
      </c>
    </row>
    <row r="13" ht="20.25">
      <c r="A13" s="2" t="s">
        <v>40</v>
      </c>
    </row>
    <row r="14" ht="20.25">
      <c r="A14" s="2" t="s">
        <v>41</v>
      </c>
    </row>
    <row r="15" ht="20.25">
      <c r="A15" s="2" t="s">
        <v>42</v>
      </c>
    </row>
    <row r="16" ht="20.25">
      <c r="A16" s="2" t="s">
        <v>43</v>
      </c>
    </row>
    <row r="17" ht="20.25">
      <c r="A17" s="2" t="s">
        <v>44</v>
      </c>
    </row>
    <row r="18" ht="20.25">
      <c r="A18" s="2" t="s">
        <v>45</v>
      </c>
    </row>
    <row r="19" ht="20.25">
      <c r="A19" s="2" t="s">
        <v>46</v>
      </c>
    </row>
    <row r="20" ht="20.25">
      <c r="A20" s="2" t="s">
        <v>47</v>
      </c>
    </row>
    <row r="21" ht="20.25">
      <c r="A21" s="2" t="s">
        <v>48</v>
      </c>
    </row>
    <row r="22" ht="20.25">
      <c r="A22" s="2" t="s">
        <v>49</v>
      </c>
    </row>
    <row r="23" ht="20.25">
      <c r="A23" s="2" t="s">
        <v>50</v>
      </c>
    </row>
    <row r="24" ht="20.25">
      <c r="A24" s="2" t="s">
        <v>51</v>
      </c>
    </row>
    <row r="25" ht="20.25">
      <c r="A25" s="2" t="s">
        <v>52</v>
      </c>
    </row>
    <row r="26" ht="20.25">
      <c r="A26" s="2" t="s">
        <v>53</v>
      </c>
    </row>
    <row r="27" ht="20.25">
      <c r="A27" s="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44.00390625" style="39" customWidth="1"/>
    <col min="2" max="3" width="12.00390625" style="39" customWidth="1"/>
    <col min="4" max="4" width="17.7109375" style="39" customWidth="1"/>
    <col min="5" max="5" width="10.28125" style="39" customWidth="1"/>
    <col min="6" max="6" width="11.28125" style="39" customWidth="1"/>
    <col min="7" max="7" width="9.140625" style="39" customWidth="1"/>
    <col min="8" max="8" width="10.8515625" style="39" customWidth="1"/>
    <col min="9" max="14" width="9.140625" style="39" customWidth="1"/>
    <col min="15" max="15" width="11.8515625" style="39" customWidth="1"/>
    <col min="16" max="16" width="16.7109375" style="39" customWidth="1"/>
    <col min="17" max="17" width="13.421875" style="39" customWidth="1"/>
    <col min="18" max="18" width="12.421875" style="39" customWidth="1"/>
    <col min="19" max="16384" width="9.140625" style="39" customWidth="1"/>
  </cols>
  <sheetData>
    <row r="1" spans="2:18" ht="99" customHeight="1">
      <c r="B1" s="40" t="s">
        <v>27</v>
      </c>
      <c r="C1" s="40" t="s">
        <v>75</v>
      </c>
      <c r="D1" s="40" t="s">
        <v>58</v>
      </c>
      <c r="E1" s="40" t="s">
        <v>10</v>
      </c>
      <c r="F1" s="40" t="s">
        <v>11</v>
      </c>
      <c r="G1" s="40" t="s">
        <v>59</v>
      </c>
      <c r="H1" s="40" t="s">
        <v>60</v>
      </c>
      <c r="I1" s="40" t="s">
        <v>61</v>
      </c>
      <c r="J1" s="40" t="s">
        <v>62</v>
      </c>
      <c r="K1" s="40" t="s">
        <v>63</v>
      </c>
      <c r="L1" s="40" t="s">
        <v>64</v>
      </c>
      <c r="M1" s="40" t="s">
        <v>65</v>
      </c>
      <c r="N1" s="40" t="s">
        <v>66</v>
      </c>
      <c r="O1" s="40" t="s">
        <v>79</v>
      </c>
      <c r="P1" s="106" t="s">
        <v>207</v>
      </c>
      <c r="Q1" s="40" t="s">
        <v>132</v>
      </c>
      <c r="R1" s="40" t="s">
        <v>133</v>
      </c>
    </row>
    <row r="2" spans="1:18" ht="15">
      <c r="A2" s="39" t="s">
        <v>25</v>
      </c>
      <c r="B2" s="39">
        <f>VLOOKUP("ИТОГО продовольственные магазины",'Стационарные торговые объекты'!C10:AB139,5,0)</f>
        <v>18</v>
      </c>
      <c r="C2" s="39">
        <f>VLOOKUP("ИТОГО продовольственные магазины",'Стационарные торговые объекты'!C10:AB139,11,0)</f>
        <v>0</v>
      </c>
      <c r="D2" s="39">
        <f>VLOOKUP("ИТОГО продовольственные магазины",'Стационарные торговые объекты'!C10:AB139,12,0)</f>
        <v>2</v>
      </c>
      <c r="E2" s="39">
        <f>VLOOKUP("ИТОГО продовольственные магазины",'Стационарные торговые объекты'!C10:AB139,13,0)</f>
        <v>17</v>
      </c>
      <c r="F2" s="39">
        <f>VLOOKUP("ИТОГО продовольственные магазины",'Стационарные торговые объекты'!C10:AB139,14,0)</f>
        <v>1</v>
      </c>
      <c r="G2" s="39">
        <f>VLOOKUP("ИТОГО продовольственные магазины",'Стационарные торговые объекты'!C10:AB139,15,0)</f>
        <v>52</v>
      </c>
      <c r="H2" s="39">
        <f>VLOOKUP("ИТОГО продовольственные магазины",'Стационарные торговые объекты'!C10:AB139,16,0)</f>
        <v>44</v>
      </c>
      <c r="I2" s="39">
        <f>VLOOKUP("ИТОГО продовольственные магазины",'Стационарные торговые объекты'!C10:AB139,17,0)</f>
        <v>1327.37</v>
      </c>
      <c r="J2" s="39">
        <f>VLOOKUP("ИТОГО продовольственные магазины",'Стационарные торговые объекты'!C10:AB139,18,0)</f>
        <v>1327.37</v>
      </c>
      <c r="K2" s="39" t="str">
        <f>VLOOKUP("ИТОГО продовольственные магазины",'Стационарные торговые объекты'!C10:AB139,19,0)</f>
        <v> </v>
      </c>
      <c r="L2" s="39">
        <f>VLOOKUP("ИТОГО продовольственные магазины",'Стационарные торговые объекты'!C10:AB139,20,0)</f>
        <v>789.3499999999999</v>
      </c>
      <c r="M2" s="39">
        <f>VLOOKUP("ИТОГО продовольственные магазины",'Стационарные торговые объекты'!C10:AB139,21,0)</f>
        <v>789.3499999999999</v>
      </c>
      <c r="N2" s="39" t="str">
        <f>VLOOKUP("ИТОГО продовольственные магазины",'Стационарные торговые объекты'!C10:AB139,22,0)</f>
        <v> </v>
      </c>
      <c r="O2" s="39">
        <f>VLOOKUP("ИТОГО продовольственные магазины",'Стационарные торговые объекты'!C10:AB139,25,0)</f>
        <v>10</v>
      </c>
      <c r="P2" s="39">
        <f>VLOOKUP("ИТОГО продовольственные магазины",'Стационарные торговые объекты'!C10:AB139,26,0)</f>
        <v>2</v>
      </c>
      <c r="Q2" s="39">
        <f>VLOOKUP("ИТОГО продовольственные магазины",'Стационарные торговые объекты'!C10:AD139,27,0)</f>
        <v>14</v>
      </c>
      <c r="R2" s="39">
        <f>VLOOKUP("ИТОГО продовольственные магазины",'Стационарные торговые объекты'!C10:AD139,28,0)</f>
        <v>14</v>
      </c>
    </row>
    <row r="3" spans="1:16" ht="15">
      <c r="A3" s="39" t="s">
        <v>26</v>
      </c>
      <c r="B3" s="39">
        <f>VLOOKUP("ИТОГО непродовольственные магазины",'Стационарные торговые объекты'!C10:AB139,5,0)</f>
        <v>33</v>
      </c>
      <c r="C3" s="39">
        <f>VLOOKUP("ИТОГО непродовольственные магазины",'Стационарные торговые объекты'!C10:AB139,11,0)</f>
        <v>3</v>
      </c>
      <c r="D3" s="39">
        <f>VLOOKUP("ИТОГО непродовольственные магазины",'Стационарные торговые объекты'!C10:AB139,12,0)</f>
        <v>0</v>
      </c>
      <c r="E3" s="39">
        <f>VLOOKUP("ИТОГО непродовольственные магазины",'Стационарные торговые объекты'!C10:AB139,13,0)</f>
        <v>11</v>
      </c>
      <c r="F3" s="39">
        <f>VLOOKUP("ИТОГО непродовольственные магазины",'Стационарные торговые объекты'!C10:AB139,14,0)</f>
        <v>17</v>
      </c>
      <c r="G3" s="39">
        <f>VLOOKUP("ИТОГО непродовольственные магазины",'Стационарные торговые объекты'!C10:AB139,15,0)</f>
        <v>103</v>
      </c>
      <c r="H3" s="39">
        <f>VLOOKUP("ИТОГО непродовольственные магазины",'Стационарные торговые объекты'!C10:AB139,16,0)</f>
        <v>79</v>
      </c>
      <c r="I3" s="39">
        <f>VLOOKUP("ИТОГО непродовольственные магазины",'Стационарные торговые объекты'!C10:AB139,17,0)</f>
        <v>3422.1000000000004</v>
      </c>
      <c r="J3" s="39" t="str">
        <f>VLOOKUP("ИТОГО непродовольственные магазины",'Стационарные торговые объекты'!C10:AB139,18,0)</f>
        <v> </v>
      </c>
      <c r="K3" s="39">
        <f>VLOOKUP("ИТОГО непродовольственные магазины",'Стационарные торговые объекты'!C10:AB139,19,0)</f>
        <v>3422.1000000000004</v>
      </c>
      <c r="L3" s="39">
        <f>VLOOKUP("ИТОГО непродовольственные магазины",'Стационарные торговые объекты'!C10:AB139,20,0)</f>
        <v>2001.6</v>
      </c>
      <c r="M3" s="39">
        <f>VLOOKUP("ИТОГО непродовольственные магазины",'Стационарные торговые объекты'!C10:AB139,21,0)</f>
        <v>18</v>
      </c>
      <c r="N3" s="39">
        <f>VLOOKUP("ИТОГО непродовольственные магазины",'Стационарные торговые объекты'!C10:AB139,22,0)</f>
        <v>2001.6</v>
      </c>
      <c r="O3" s="39">
        <f>VLOOKUP("ИТОГО непродовольственные магазины",'Стационарные торговые объекты'!C10:AB139,25,0)</f>
        <v>9</v>
      </c>
      <c r="P3" s="39">
        <f>VLOOKUP("ИТОГО непродовольственные магазины",'Стационарные торговые объекты'!C10:AB139,26,0)</f>
        <v>1</v>
      </c>
    </row>
    <row r="4" spans="1:19" ht="30.75" customHeight="1">
      <c r="A4" s="39" t="s">
        <v>68</v>
      </c>
      <c r="B4" s="39">
        <f>VLOOKUP("ИТОГО магазины со смешанным ассортиментом",'Стационарные торговые объекты'!C10:AB139,5,0)</f>
        <v>44</v>
      </c>
      <c r="C4" s="39">
        <f>VLOOKUP("ИТОГО магазины со смешанным ассортиментом",'Стационарные торговые объекты'!C10:AB139,11,0)</f>
        <v>1</v>
      </c>
      <c r="D4" s="39">
        <f>VLOOKUP("ИТОГО магазины со смешанным ассортиментом",'Стационарные торговые объекты'!C10:AB139,12,0)</f>
        <v>0</v>
      </c>
      <c r="E4" s="39">
        <f>VLOOKUP("ИТОГО магазины со смешанным ассортиментом",'Стационарные торговые объекты'!C10:AB139,13,0)</f>
        <v>27</v>
      </c>
      <c r="F4" s="39">
        <f>VLOOKUP("ИТОГО магазины со смешанным ассортиментом",'Стационарные торговые объекты'!C10:AB139,14,0)</f>
        <v>17</v>
      </c>
      <c r="G4" s="39">
        <f>VLOOKUP("ИТОГО магазины со смешанным ассортиментом",'Стационарные торговые объекты'!C10:AB139,15,0)</f>
        <v>157</v>
      </c>
      <c r="H4" s="39">
        <f>VLOOKUP("ИТОГО магазины со смешанным ассортиментом",'Стационарные торговые объекты'!C10:AB139,16,0)</f>
        <v>129</v>
      </c>
      <c r="I4" s="39">
        <f>VLOOKUP("ИТОГО магазины со смешанным ассортиментом",'Стационарные торговые объекты'!C10:AB139,17,0)</f>
        <v>5938.700000000001</v>
      </c>
      <c r="J4" s="39">
        <f>VLOOKUP("ИТОГО магазины со смешанным ассортиментом",'Стационарные торговые объекты'!C10:AB139,18,0)</f>
        <v>4665.9000000000015</v>
      </c>
      <c r="K4" s="39">
        <f>VLOOKUP("ИТОГО магазины со смешанным ассортиментом",'Стационарные торговые объекты'!C10:AB139,19,0)</f>
        <v>1039.7</v>
      </c>
      <c r="L4" s="39">
        <f>VLOOKUP("ИТОГО магазины со смешанным ассортиментом",'Стационарные торговые объекты'!C10:AB139,20,0)</f>
        <v>3254.9000000000005</v>
      </c>
      <c r="M4" s="39">
        <f>VLOOKUP("ИТОГО магазины со смешанным ассортиментом",'Стационарные торговые объекты'!C10:AB139,21,0)</f>
        <v>2690.5000000000005</v>
      </c>
      <c r="N4" s="39">
        <f>VLOOKUP("ИТОГО магазины со смешанным ассортиментом",'Стационарные торговые объекты'!C10:AB139,22,0)</f>
        <v>564.4</v>
      </c>
      <c r="O4" s="39">
        <f>VLOOKUP("ИТОГО магазины со смешанным ассортиментом",'Стационарные торговые объекты'!C10:AB139,25,0)</f>
        <v>34</v>
      </c>
      <c r="P4" s="39">
        <f>VLOOKUP("ИТОГО магазины со смешанным ассортиментом",'Стационарные торговые объекты'!C10:AB139,26,0)</f>
        <v>3</v>
      </c>
      <c r="Q4" s="39">
        <f>VLOOKUP("ИТОГО магазины со смешанным ассортиментом",'Стационарные торговые объекты'!C10:AD139,27,0)</f>
        <v>32</v>
      </c>
      <c r="R4" s="39">
        <f>VLOOKUP("ИТОГО магазины со смешанным ассортиментом",'Стационарные торговые объекты'!C10:AD139,28,0)</f>
        <v>32</v>
      </c>
      <c r="S4" s="40" t="s">
        <v>181</v>
      </c>
    </row>
    <row r="5" spans="1:19" ht="15">
      <c r="A5" s="39" t="s">
        <v>28</v>
      </c>
      <c r="B5" s="39">
        <f>VLOOKUP("ИТОГО торговые центры",'Стационарные торговые объекты'!C10:AB139,5,0)</f>
        <v>6</v>
      </c>
      <c r="C5" s="39">
        <f>VLOOKUP("ИТОГО торговые центры",'Стационарные торговые объекты'!C10:AB139,11,0)</f>
        <v>0</v>
      </c>
      <c r="D5" s="39">
        <f>VLOOKUP("ИТОГО торговые центры",'Стационарные торговые объекты'!C10:AB139,12,0)</f>
        <v>0</v>
      </c>
      <c r="E5" s="39">
        <f>VLOOKUP("ИТОГО торговые центры",'Стационарные торговые объекты'!C10:AB139,13,0)</f>
        <v>0</v>
      </c>
      <c r="F5" s="39">
        <f>VLOOKUP("ИТОГО торговые центры",'Стационарные торговые объекты'!C10:AB139,14,0)</f>
        <v>2</v>
      </c>
      <c r="G5" s="39">
        <f>VLOOKUP("ИТОГО торговые центры",'Стационарные торговые объекты'!C10:AB139,15,0)</f>
        <v>71</v>
      </c>
      <c r="H5" s="39">
        <f>VLOOKUP("ИТОГО торговые центры",'Стационарные торговые объекты'!C34:X140,16,0)</f>
        <v>55</v>
      </c>
      <c r="I5" s="39">
        <f>VLOOKUP("ИТОГО торговые центры",'Стационарные торговые объекты'!C10:AB139,17,0)</f>
        <v>4420.5599999999995</v>
      </c>
      <c r="J5" s="39" t="str">
        <f>VLOOKUP("ИТОГО торговые центры",'Стационарные торговые объекты'!C10:AB139,18,0)</f>
        <v> </v>
      </c>
      <c r="K5" s="39">
        <f>VLOOKUP("ИТОГО торговые центры",'Стационарные торговые объекты'!C10:AB139,19,0)</f>
        <v>4420.5599999999995</v>
      </c>
      <c r="L5" s="39">
        <f>VLOOKUP("ИТОГО торговые центры",'Стационарные торговые объекты'!C10:AB139,20,0)</f>
        <v>2878</v>
      </c>
      <c r="M5" s="39" t="str">
        <f>VLOOKUP("ИТОГО торговые центры",'Стационарные торговые объекты'!C10:AB139,21,0)</f>
        <v> </v>
      </c>
      <c r="N5" s="39">
        <f>VLOOKUP("ИТОГО торговые центры",'Стационарные торговые объекты'!C10:AB139,22,0)</f>
        <v>2878</v>
      </c>
      <c r="O5" s="39">
        <f>VLOOKUP("ИТОГО торговые центры",'Стационарные торговые объекты'!C10:AB139,25,0)</f>
        <v>1</v>
      </c>
      <c r="P5" s="39">
        <f>VLOOKUP("ИТОГО торговые центры",'Стационарные торговые объекты'!C10:AB139,26,0)</f>
        <v>0</v>
      </c>
      <c r="S5" s="39" t="str">
        <f>VLOOKUP("ИТОГО торговые центры",'Стационарные торговые объекты'!C10:AD139,8,0)</f>
        <v> </v>
      </c>
    </row>
    <row r="6" spans="1:19" ht="15">
      <c r="A6" s="39" t="s">
        <v>29</v>
      </c>
      <c r="B6" s="39">
        <f>VLOOKUP("ИТОГО торговые комплексы",'Стационарные торговые объекты'!C10:AB139,5,0)</f>
        <v>0</v>
      </c>
      <c r="C6" s="39">
        <f>VLOOKUP("ИТОГО торговые комплексы",'Стационарные торговые объекты'!C10:AB139,11,0)</f>
        <v>0</v>
      </c>
      <c r="D6" s="39">
        <f>VLOOKUP("ИТОГО торговые комплексы",'Стационарные торговые объекты'!C10:AB139,12,0)</f>
        <v>0</v>
      </c>
      <c r="E6" s="39">
        <f>VLOOKUP("ИТОГО торговые комплексы",'Стационарные торговые объекты'!C10:AB139,13,0)</f>
        <v>0</v>
      </c>
      <c r="F6" s="39">
        <f>VLOOKUP("ИТОГО торговые комплексы",'Стационарные торговые объекты'!C10:AB139,14,0)</f>
        <v>0</v>
      </c>
      <c r="G6" s="39" t="str">
        <f>VLOOKUP("ИТОГО торговые комплексы",'Стационарные торговые объекты'!C10:AB139,15,0)</f>
        <v> </v>
      </c>
      <c r="H6" s="39" t="str">
        <f>VLOOKUP("ИТОГО торговые комплексы",'Стационарные торговые объекты'!C10:AB139,16,0)</f>
        <v> </v>
      </c>
      <c r="I6" s="39" t="str">
        <f>VLOOKUP("ИТОГО торговые комплексы",'Стационарные торговые объекты'!C10:AB139,17,0)</f>
        <v> </v>
      </c>
      <c r="J6" s="39" t="str">
        <f>VLOOKUP("ИТОГО торговые комплексы",'Стационарные торговые объекты'!C10:AB139,18,0)</f>
        <v> </v>
      </c>
      <c r="K6" s="39" t="str">
        <f>VLOOKUP("ИТОГО торговые комплексы",'Стационарные торговые объекты'!C10:AB139,19,0)</f>
        <v> </v>
      </c>
      <c r="L6" s="39" t="str">
        <f>VLOOKUP("ИТОГО торговые комплексы",'Стационарные торговые объекты'!C10:AB139,20,0)</f>
        <v> </v>
      </c>
      <c r="M6" s="39" t="str">
        <f>VLOOKUP("ИТОГО торговые комплексы",'Стационарные торговые объекты'!C10:AB139,21,0)</f>
        <v> </v>
      </c>
      <c r="N6" s="39" t="str">
        <f>VLOOKUP("ИТОГО торговые комплексы",'Стационарные торговые объекты'!C10:AB139,22,0)</f>
        <v> </v>
      </c>
      <c r="O6" s="39">
        <f>VLOOKUP("ИТОГО торговые комплексы",'Стационарные торговые объекты'!C10:AB139,25,0)</f>
        <v>0</v>
      </c>
      <c r="P6" s="39">
        <f>VLOOKUP("ИТОГО торговые комплексы",'Стационарные торговые объекты'!C10:AB139,26,0)</f>
        <v>0</v>
      </c>
      <c r="S6" s="39" t="str">
        <f>VLOOKUP("ИТОГО торговые комплексы",'Стационарные торговые объекты'!C10:AD139,8,0)</f>
        <v> </v>
      </c>
    </row>
    <row r="7" spans="1:18" ht="15">
      <c r="A7" s="41" t="s">
        <v>57</v>
      </c>
      <c r="B7" s="41">
        <f aca="true" t="shared" si="0" ref="B7:P7">SUM(B2:B6)</f>
        <v>101</v>
      </c>
      <c r="C7" s="41">
        <f t="shared" si="0"/>
        <v>4</v>
      </c>
      <c r="D7" s="41">
        <f t="shared" si="0"/>
        <v>2</v>
      </c>
      <c r="E7" s="41">
        <f t="shared" si="0"/>
        <v>55</v>
      </c>
      <c r="F7" s="41">
        <f t="shared" si="0"/>
        <v>37</v>
      </c>
      <c r="G7" s="41">
        <f t="shared" si="0"/>
        <v>383</v>
      </c>
      <c r="H7" s="41">
        <f t="shared" si="0"/>
        <v>307</v>
      </c>
      <c r="I7" s="41">
        <f t="shared" si="0"/>
        <v>15108.730000000001</v>
      </c>
      <c r="J7" s="41">
        <f t="shared" si="0"/>
        <v>5993.270000000001</v>
      </c>
      <c r="K7" s="41">
        <f t="shared" si="0"/>
        <v>8882.36</v>
      </c>
      <c r="L7" s="41">
        <f t="shared" si="0"/>
        <v>8923.85</v>
      </c>
      <c r="M7" s="41">
        <f t="shared" si="0"/>
        <v>3497.8500000000004</v>
      </c>
      <c r="N7" s="41">
        <f t="shared" si="0"/>
        <v>5444</v>
      </c>
      <c r="O7" s="41">
        <f t="shared" si="0"/>
        <v>54</v>
      </c>
      <c r="P7" s="41">
        <f t="shared" si="0"/>
        <v>6</v>
      </c>
      <c r="Q7" s="41">
        <f>SUM(Q2:Q6)</f>
        <v>46</v>
      </c>
      <c r="R7" s="41">
        <f>SUM(R2:R6)</f>
        <v>46</v>
      </c>
    </row>
    <row r="12" spans="2:15" ht="75">
      <c r="B12" s="40" t="s">
        <v>27</v>
      </c>
      <c r="C12" s="40" t="s">
        <v>75</v>
      </c>
      <c r="D12" s="40" t="s">
        <v>108</v>
      </c>
      <c r="E12" s="40" t="s">
        <v>59</v>
      </c>
      <c r="F12" s="40" t="s">
        <v>61</v>
      </c>
      <c r="G12" s="40" t="s">
        <v>107</v>
      </c>
      <c r="H12" s="40" t="s">
        <v>84</v>
      </c>
      <c r="I12" s="40" t="s">
        <v>89</v>
      </c>
      <c r="J12" s="40" t="s">
        <v>90</v>
      </c>
      <c r="K12" s="40" t="s">
        <v>89</v>
      </c>
      <c r="L12" s="40" t="s">
        <v>90</v>
      </c>
      <c r="M12" s="40"/>
      <c r="N12" s="40"/>
      <c r="O12" s="40"/>
    </row>
    <row r="13" spans="1:12" ht="15">
      <c r="A13" s="39" t="s">
        <v>100</v>
      </c>
      <c r="B13" s="39">
        <f>VLOOKUP("Итого киоски продовольственные",'Нестационарные торговые объекты'!C11:S64,4,0)</f>
        <v>2</v>
      </c>
      <c r="C13" s="39">
        <f>VLOOKUP("Итого киоски продовольственные",'Нестационарные торговые объекты'!C11:S64,7,0)</f>
        <v>1</v>
      </c>
      <c r="D13" s="39">
        <f>VLOOKUP("Итого киоски продовольственные",'Нестационарные торговые объекты'!C11:S64,8,0)</f>
        <v>1</v>
      </c>
      <c r="E13" s="39">
        <f>VLOOKUP("Итого киоски продовольственные",'Нестационарные торговые объекты'!C11:S64,9,0)</f>
        <v>3</v>
      </c>
      <c r="F13" s="39">
        <f>VLOOKUP("Итого киоски продовольственные",'Нестационарные торговые объекты'!C11:S64,10,0)</f>
        <v>21</v>
      </c>
      <c r="G13" s="39">
        <f>VLOOKUP("Итого киоски продовольственные",'Нестационарные торговые объекты'!C11:S64,11,0)</f>
        <v>21</v>
      </c>
      <c r="H13" s="39">
        <f>VLOOKUP("Итого киоски продовольственные",'Нестационарные торговые объекты'!C11:S64,13,0)</f>
        <v>2</v>
      </c>
      <c r="I13" s="39">
        <f>VLOOKUP("Итого киоски продовольственные",'Нестационарные торговые объекты'!C11:S64,14,0)</f>
        <v>0</v>
      </c>
      <c r="J13" s="39">
        <f>VLOOKUP("Итого киоски продовольственные",'Нестационарные торговые объекты'!C11:S64,15,0)</f>
        <v>0</v>
      </c>
      <c r="K13" s="39">
        <f>VLOOKUP("Итого киоски продовольственные",'Нестационарные торговые объекты'!C11:S64,16,0)</f>
        <v>0</v>
      </c>
      <c r="L13" s="39">
        <f>VLOOKUP("Итого киоски продовольственные",'Нестационарные торговые объекты'!C11:S64,17,0)</f>
        <v>0</v>
      </c>
    </row>
    <row r="14" spans="1:12" ht="15">
      <c r="A14" s="39" t="s">
        <v>101</v>
      </c>
      <c r="B14" s="39">
        <f>VLOOKUP("Итого киоски непродовольственные",'Нестационарные торговые объекты'!C11:S64,4,0)</f>
        <v>4</v>
      </c>
      <c r="C14" s="39">
        <f>VLOOKUP("Итого киоски непродовольственные",'Нестационарные торговые объекты'!C11:S64,7,0)</f>
        <v>1</v>
      </c>
      <c r="D14" s="39">
        <f>VLOOKUP("Итого киоски непродовольственные",'Нестационарные торговые объекты'!C11:S64,8,0)</f>
        <v>0</v>
      </c>
      <c r="E14" s="39">
        <f>VLOOKUP("Итого киоски непродовольственные",'Нестационарные торговые объекты'!C11:S64,9,0)</f>
        <v>3</v>
      </c>
      <c r="F14" s="39">
        <f>VLOOKUP("Итого киоски непродовольственные",'Нестационарные торговые объекты'!C11:S64,10,0)</f>
        <v>48.5</v>
      </c>
      <c r="G14" s="39">
        <f>VLOOKUP("Итого киоски непродовольственные",'Нестационарные торговые объекты'!C11:S64,11,0)</f>
        <v>48.5</v>
      </c>
      <c r="H14" s="39">
        <f>VLOOKUP("Итого киоски непродовольственные",'Нестационарные торговые объекты'!C11:S64,13,0)</f>
        <v>4</v>
      </c>
      <c r="I14" s="39">
        <f>VLOOKUP("Итого киоски непродовольственные",'Нестационарные торговые объекты'!C11:S64,14,0)</f>
        <v>0</v>
      </c>
      <c r="J14" s="39">
        <f>VLOOKUP("Итого киоски непродовольственные",'Нестационарные торговые объекты'!C11:S64,15,0)</f>
        <v>0</v>
      </c>
      <c r="K14" s="39">
        <f>VLOOKUP("Итого киоски непродовольственные",'Нестационарные торговые объекты'!C11:S64,16,0)</f>
        <v>0</v>
      </c>
      <c r="L14" s="39">
        <f>VLOOKUP("Итого киоски непродовольственные",'Нестационарные торговые объекты'!C11:S64,17,0)</f>
        <v>0</v>
      </c>
    </row>
    <row r="15" spans="1:12" ht="15">
      <c r="A15" s="39" t="s">
        <v>102</v>
      </c>
      <c r="B15" s="39">
        <f>VLOOKUP("Итого киоски со смешенным ассортиментом",'Нестационарные торговые объекты'!C11:S64,4,0)</f>
        <v>0</v>
      </c>
      <c r="C15" s="39">
        <f>VLOOKUP("Итого киоски со смешенным ассортиментом",'Нестационарные торговые объекты'!C11:S64,7,0)</f>
        <v>0</v>
      </c>
      <c r="D15" s="39">
        <f>VLOOKUP("Итого киоски со смешенным ассортиментом",'Нестационарные торговые объекты'!C11:S64,8,0)</f>
        <v>0</v>
      </c>
      <c r="E15" s="39">
        <f>VLOOKUP("Итого киоски со смешенным ассортиментом",'Нестационарные торговые объекты'!C11:S64,9,0)</f>
        <v>0</v>
      </c>
      <c r="F15" s="39">
        <f>VLOOKUP("Итого киоски со смешенным ассортиментом",'Нестационарные торговые объекты'!C11:S64,10,0)</f>
        <v>0</v>
      </c>
      <c r="G15" s="39">
        <f>VLOOKUP("Итого киоски со смешенным ассортиментом",'Нестационарные торговые объекты'!C11:S64,11,0)</f>
        <v>0</v>
      </c>
      <c r="H15" s="39">
        <f>VLOOKUP("Итого киоски со смешенным ассортиментом",'Нестационарные торговые объекты'!C11:S64,13,0)</f>
        <v>0</v>
      </c>
      <c r="I15" s="39">
        <f>VLOOKUP("Итого киоски со смешенным ассортиментом",'Нестационарные торговые объекты'!C11:S64,14,0)</f>
        <v>0</v>
      </c>
      <c r="J15" s="39">
        <f>VLOOKUP("Итого киоски со смешенным ассортиментом",'Нестационарные торговые объекты'!C11:S64,15,0)</f>
        <v>0</v>
      </c>
      <c r="K15" s="39">
        <f>VLOOKUP("Итого киоски со смешенным ассортиментом",'Нестационарные торговые объекты'!C11:S64,16,0)</f>
        <v>0</v>
      </c>
      <c r="L15" s="39">
        <f>VLOOKUP("Итого киоски со смешенным ассортиментом",'Нестационарные торговые объекты'!C11:S64,17,0)</f>
        <v>0</v>
      </c>
    </row>
    <row r="16" spans="1:12" ht="15">
      <c r="A16" s="39" t="s">
        <v>171</v>
      </c>
      <c r="B16" s="39">
        <f>SUM(B13:B15)</f>
        <v>6</v>
      </c>
      <c r="C16" s="39">
        <f aca="true" t="shared" si="1" ref="C16:L16">SUM(C13:C15)</f>
        <v>2</v>
      </c>
      <c r="D16" s="39">
        <f t="shared" si="1"/>
        <v>1</v>
      </c>
      <c r="E16" s="39">
        <f t="shared" si="1"/>
        <v>6</v>
      </c>
      <c r="F16" s="39">
        <f t="shared" si="1"/>
        <v>69.5</v>
      </c>
      <c r="G16" s="39">
        <f t="shared" si="1"/>
        <v>69.5</v>
      </c>
      <c r="H16" s="39">
        <f t="shared" si="1"/>
        <v>6</v>
      </c>
      <c r="I16" s="39">
        <f t="shared" si="1"/>
        <v>0</v>
      </c>
      <c r="J16" s="39">
        <f t="shared" si="1"/>
        <v>0</v>
      </c>
      <c r="K16" s="39">
        <f t="shared" si="1"/>
        <v>0</v>
      </c>
      <c r="L16" s="39">
        <f t="shared" si="1"/>
        <v>0</v>
      </c>
    </row>
    <row r="17" spans="1:12" ht="15">
      <c r="A17" s="39" t="s">
        <v>103</v>
      </c>
      <c r="B17" s="39">
        <f>VLOOKUP("Итого павильоны продовольственные",'Нестационарные торговые объекты'!C11:S64,4,0)</f>
        <v>6</v>
      </c>
      <c r="C17" s="39">
        <f>VLOOKUP("Итого павильоны продовольственные",'Нестационарные торговые объекты'!C11:S64,7,0)</f>
        <v>1</v>
      </c>
      <c r="D17" s="39">
        <f>VLOOKUP("Итого павильоны продовольственные",'Нестационарные торговые объекты'!C11:S64,8,0)</f>
        <v>1</v>
      </c>
      <c r="E17" s="39">
        <f>VLOOKUP("Итого павильоны продовольственные",'Нестационарные торговые объекты'!C11:S64,9,0)</f>
        <v>15</v>
      </c>
      <c r="F17" s="39">
        <f>VLOOKUP("Итого павильоны продовольственные",'Нестационарные торговые объекты'!C11:S64,10,0)</f>
        <v>236</v>
      </c>
      <c r="G17" s="39">
        <f>VLOOKUP("Итого павильоны продовольственные",'Нестационарные торговые объекты'!C11:S64,11,0)</f>
        <v>184</v>
      </c>
      <c r="H17" s="39">
        <f>VLOOKUP("Итого павильоны продовольственные",'Нестационарные торговые объекты'!C11:S64,13,0)</f>
        <v>6</v>
      </c>
      <c r="I17" s="39">
        <f>VLOOKUP("Итого павильоны продовольственные",'Нестационарные торговые объекты'!C11:S64,14,0)</f>
        <v>0</v>
      </c>
      <c r="J17" s="39">
        <f>VLOOKUP("Итого павильоны продовольственные",'Нестационарные торговые объекты'!C11:S64,15,0)</f>
        <v>0</v>
      </c>
      <c r="K17" s="39">
        <f>VLOOKUP("Итого павильоны продовольственные",'Нестационарные торговые объекты'!C11:S64,16,0)</f>
        <v>0</v>
      </c>
      <c r="L17" s="39">
        <f>VLOOKUP("Итого павильоны продовольственные",'Нестационарные торговые объекты'!C11:S64,17,0)</f>
        <v>0</v>
      </c>
    </row>
    <row r="18" spans="1:12" ht="15">
      <c r="A18" s="39" t="s">
        <v>104</v>
      </c>
      <c r="B18" s="39">
        <f>VLOOKUP("Итого павильоны непродовольственные",'Нестационарные торговые объекты'!C11:S64,4,0)</f>
        <v>17</v>
      </c>
      <c r="C18" s="39">
        <f>VLOOKUP("Итого павильоны непродовольственные",'Нестационарные торговые объекты'!C11:S64,7,0)</f>
        <v>1</v>
      </c>
      <c r="D18" s="39">
        <f>VLOOKUP("Итого павильоны непродовольственные",'Нестационарные торговые объекты'!C11:S64,8,0)</f>
        <v>0</v>
      </c>
      <c r="E18" s="39">
        <f>VLOOKUP("Итого павильоны непродовольственные",'Нестационарные торговые объекты'!C11:S64,9,0)</f>
        <v>28</v>
      </c>
      <c r="F18" s="39">
        <f>VLOOKUP("Итого павильоны непродовольственные",'Нестационарные торговые объекты'!C11:S64,10,0)</f>
        <v>414.2</v>
      </c>
      <c r="G18" s="39">
        <f>VLOOKUP("Итого павильоны непродовольственные",'Нестационарные торговые объекты'!C11:S64,11,0)</f>
        <v>335.1</v>
      </c>
      <c r="H18" s="39">
        <f>VLOOKUP("Итого павильоны непродовольственные",'Нестационарные торговые объекты'!C11:S64,13,0)</f>
        <v>17</v>
      </c>
      <c r="I18" s="39">
        <f>VLOOKUP("Итого павильоны непродовольственные",'Нестационарные торговые объекты'!C11:S64,14,0)</f>
        <v>0</v>
      </c>
      <c r="J18" s="39">
        <f>VLOOKUP("Итого павильоны непродовольственные",'Нестационарные торговые объекты'!C11:S64,15,0)</f>
        <v>0</v>
      </c>
      <c r="K18" s="39">
        <f>VLOOKUP("Итого павильоны непродовольственные",'Нестационарные торговые объекты'!C11:S64,16,0)</f>
        <v>0</v>
      </c>
      <c r="L18" s="39">
        <f>VLOOKUP("Итого павильоны непродовольственные",'Нестационарные торговые объекты'!C11:S64,17,0)</f>
        <v>0</v>
      </c>
    </row>
    <row r="19" spans="1:12" ht="15">
      <c r="A19" s="39" t="s">
        <v>105</v>
      </c>
      <c r="B19" s="39">
        <f>VLOOKUP("Итого павильоны со смешанным ассортиментом",'Нестационарные торговые объекты'!C11:S64,4,0)</f>
        <v>3</v>
      </c>
      <c r="C19" s="39">
        <f>VLOOKUP("Итого павильоны со смешанным ассортиментом",'Нестационарные торговые объекты'!C11:S64,7,0)</f>
        <v>2</v>
      </c>
      <c r="D19" s="39">
        <f>VLOOKUP("Итого павильоны со смешанным ассортиментом",'Нестационарные торговые объекты'!C11:S64,8,0)</f>
        <v>0</v>
      </c>
      <c r="E19" s="39">
        <f>VLOOKUP("Итого павильоны со смешанным ассортиментом",'Нестационарные торговые объекты'!C11:S64,9,0)</f>
        <v>3</v>
      </c>
      <c r="F19" s="39">
        <f>VLOOKUP("Итого павильоны со смешанным ассортиментом",'Нестационарные торговые объекты'!C11:S64,10,0)</f>
        <v>58</v>
      </c>
      <c r="G19" s="39">
        <f>VLOOKUP("Итого павильоны со смешанным ассортиментом",'Нестационарные торговые объекты'!C11:S64,11,0)</f>
        <v>49</v>
      </c>
      <c r="H19" s="39">
        <f>VLOOKUP("Итого павильоны со смешанным ассортиментом",'Нестационарные торговые объекты'!C11:S64,13,0)</f>
        <v>3</v>
      </c>
      <c r="I19" s="39">
        <f>VLOOKUP("Итого павильоны со смешанным ассортиментом",'Нестационарные торговые объекты'!C11:S64,14,0)</f>
        <v>0</v>
      </c>
      <c r="J19" s="39">
        <f>VLOOKUP("Итого павильоны со смешанным ассортиментом",'Нестационарные торговые объекты'!C11:S64,15,0)</f>
        <v>0</v>
      </c>
      <c r="K19" s="39">
        <f>VLOOKUP("Итого павильоны со смешанным ассортиментом",'Нестационарные торговые объекты'!C11:S64,16,0)</f>
        <v>0</v>
      </c>
      <c r="L19" s="39">
        <f>VLOOKUP("Итого павильоны со смешанным ассортиментом",'Нестационарные торговые объекты'!C11:S64,17,0)</f>
        <v>0</v>
      </c>
    </row>
    <row r="20" spans="1:12" ht="15">
      <c r="A20" s="41" t="s">
        <v>162</v>
      </c>
      <c r="B20" s="41">
        <f>SUM(B17:B19)</f>
        <v>26</v>
      </c>
      <c r="C20" s="41">
        <f aca="true" t="shared" si="2" ref="C20:L20">SUM(C17:C19)</f>
        <v>4</v>
      </c>
      <c r="D20" s="41">
        <f t="shared" si="2"/>
        <v>1</v>
      </c>
      <c r="E20" s="41">
        <f t="shared" si="2"/>
        <v>46</v>
      </c>
      <c r="F20" s="41">
        <f t="shared" si="2"/>
        <v>708.2</v>
      </c>
      <c r="G20" s="41">
        <f t="shared" si="2"/>
        <v>568.1</v>
      </c>
      <c r="H20" s="41">
        <f t="shared" si="2"/>
        <v>26</v>
      </c>
      <c r="I20" s="41">
        <f t="shared" si="2"/>
        <v>0</v>
      </c>
      <c r="J20" s="41">
        <f t="shared" si="2"/>
        <v>0</v>
      </c>
      <c r="K20" s="41">
        <f t="shared" si="2"/>
        <v>0</v>
      </c>
      <c r="L20" s="41">
        <f t="shared" si="2"/>
        <v>0</v>
      </c>
    </row>
    <row r="21" spans="1:12" ht="15">
      <c r="A21" s="39" t="s">
        <v>106</v>
      </c>
      <c r="B21" s="39">
        <f>B20+B16</f>
        <v>32</v>
      </c>
      <c r="C21" s="39">
        <f aca="true" t="shared" si="3" ref="C21:L21">C20+C16</f>
        <v>6</v>
      </c>
      <c r="D21" s="39">
        <f t="shared" si="3"/>
        <v>2</v>
      </c>
      <c r="E21" s="39">
        <f t="shared" si="3"/>
        <v>52</v>
      </c>
      <c r="F21" s="39">
        <f t="shared" si="3"/>
        <v>777.7</v>
      </c>
      <c r="G21" s="39">
        <f t="shared" si="3"/>
        <v>637.6</v>
      </c>
      <c r="H21" s="39">
        <f t="shared" si="3"/>
        <v>32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6" ht="90">
      <c r="B22" s="40" t="s">
        <v>155</v>
      </c>
      <c r="C22" s="40" t="s">
        <v>156</v>
      </c>
      <c r="D22" s="40" t="s">
        <v>157</v>
      </c>
      <c r="E22" s="40" t="s">
        <v>158</v>
      </c>
      <c r="F22" s="40" t="s">
        <v>159</v>
      </c>
    </row>
    <row r="23" spans="1:6" ht="15">
      <c r="A23" s="39" t="s">
        <v>25</v>
      </c>
      <c r="B23" s="39">
        <f>COUNTIF('Стационарные торговые объекты'!Z11:Z33,"ЖД")</f>
        <v>0</v>
      </c>
      <c r="C23" s="39">
        <f>COUNTIF('Стационарные торговые объекты'!Z11:Z33,"ОСЗ")</f>
        <v>10</v>
      </c>
      <c r="D23" s="39">
        <f>COUNTIF('Стационарные торговые объекты'!Z11:Z33,"ИЗ")</f>
        <v>8</v>
      </c>
      <c r="E23" s="39">
        <f>SUMIF('Стационарные торговые объекты'!M11:M33,"ДА",'Стационарные торговые объекты'!Q11:Q33)</f>
        <v>0</v>
      </c>
      <c r="F23" s="39">
        <f>COUNTIF('Стационарные торговые объекты'!K11:K33,"Л")</f>
        <v>6</v>
      </c>
    </row>
    <row r="24" spans="1:5" ht="15">
      <c r="A24" s="39" t="s">
        <v>26</v>
      </c>
      <c r="B24" s="39">
        <f>COUNTIF('Стационарные торговые объекты'!Z36:Z70,"ЖД")</f>
        <v>3</v>
      </c>
      <c r="C24" s="39">
        <f>COUNTIF('Стационарные торговые объекты'!Z36:Z70,"ОСЗ")</f>
        <v>12</v>
      </c>
      <c r="D24" s="39">
        <f>COUNTIF('Стационарные торговые объекты'!Z36:Z70,"ИЗ")</f>
        <v>18</v>
      </c>
      <c r="E24" s="39">
        <f>SUMIF('Стационарные торговые объекты'!M36:M70,"ДА",'Стационарные торговые объекты'!Q36:Q70)</f>
        <v>6</v>
      </c>
    </row>
    <row r="25" spans="1:6" ht="15">
      <c r="A25" s="39" t="s">
        <v>68</v>
      </c>
      <c r="B25" s="39">
        <f>COUNTIF('Стационарные торговые объекты'!Z73:Z123,"ЖД")</f>
        <v>7</v>
      </c>
      <c r="C25" s="39">
        <f>COUNTIF('Стационарные торговые объекты'!Z73:Z123,"ОСЗ")</f>
        <v>31</v>
      </c>
      <c r="D25" s="39">
        <f>COUNTIF('Стационарные торговые объекты'!Z73:Z123,"ИЗ")</f>
        <v>6</v>
      </c>
      <c r="E25" s="39">
        <f>SUMIF('Стационарные торговые объекты'!M73:M123,"ДА",'Стационарные торговые объекты'!Q73:Q123)</f>
        <v>1</v>
      </c>
      <c r="F25" s="39">
        <f>COUNTIF('Стационарные торговые объекты'!K73:K123,"Л")</f>
        <v>29</v>
      </c>
    </row>
    <row r="26" spans="1:5" ht="15">
      <c r="A26" s="39" t="s">
        <v>28</v>
      </c>
      <c r="B26" s="39">
        <f>COUNTIF('Стационарные торговые объекты'!Z126:Z132,"ЖД")</f>
        <v>0</v>
      </c>
      <c r="C26" s="39">
        <f>COUNTIF('Стационарные торговые объекты'!Z126:Z132,"ОЗ")</f>
        <v>0</v>
      </c>
      <c r="D26" s="39">
        <f>COUNTIF('Стационарные торговые объекты'!Z126:Z132,"ИЗ")</f>
        <v>0</v>
      </c>
      <c r="E26" s="39">
        <f>SUMIF('Стационарные торговые объекты'!M126:M132,"ДА",'Стационарные торговые объекты'!Q126:Q132)</f>
        <v>0</v>
      </c>
    </row>
    <row r="27" spans="1:5" ht="15">
      <c r="A27" s="39" t="s">
        <v>29</v>
      </c>
      <c r="B27" s="39">
        <f>COUNTIF('Стационарные торговые объекты'!Z135:Z137,"ЖД")</f>
        <v>0</v>
      </c>
      <c r="C27" s="39">
        <f>COUNTIF('Стационарные торговые объекты'!Z135:Z137,"ОСЗ")</f>
        <v>0</v>
      </c>
      <c r="D27" s="39">
        <f>COUNTIF('Стационарные торговые объекты'!Z135:Z137,"ИЗ")</f>
        <v>0</v>
      </c>
      <c r="E27" s="39">
        <f>SUMIF('Стационарные торговые объекты'!M135:M137,"ДА",'Стационарные торговые объекты'!Q135:Q137)</f>
        <v>0</v>
      </c>
    </row>
    <row r="28" spans="1:6" ht="15">
      <c r="A28" s="41" t="s">
        <v>57</v>
      </c>
      <c r="B28" s="41">
        <f>SUM(B23:B27)</f>
        <v>10</v>
      </c>
      <c r="C28" s="41">
        <f>SUM(C23:C27)</f>
        <v>53</v>
      </c>
      <c r="D28" s="41">
        <f>SUM(D23:D27)</f>
        <v>32</v>
      </c>
      <c r="E28" s="41">
        <f>SUM(E23:E27)</f>
        <v>7</v>
      </c>
      <c r="F28" s="41">
        <f>SUM(F23:F27)</f>
        <v>35</v>
      </c>
    </row>
  </sheetData>
  <sheetProtection password="CC61" sheet="1" formatCells="0" formatColumns="0" formatRows="0"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2017-12-25T07:21:44Z</cp:lastPrinted>
  <dcterms:created xsi:type="dcterms:W3CDTF">2006-09-16T00:00:00Z</dcterms:created>
  <dcterms:modified xsi:type="dcterms:W3CDTF">2021-03-12T11:01:18Z</dcterms:modified>
  <cp:category/>
  <cp:version/>
  <cp:contentType/>
  <cp:contentStatus/>
</cp:coreProperties>
</file>